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2"/>
  </bookViews>
  <sheets>
    <sheet name="aide" sheetId="1" r:id="rId1"/>
    <sheet name="Voltij" sheetId="2" r:id="rId2"/>
    <sheet name="F-CIEL" sheetId="3" r:id="rId3"/>
  </sheets>
  <definedNames/>
  <calcPr fullCalcOnLoad="1"/>
</workbook>
</file>

<file path=xl/comments2.xml><?xml version="1.0" encoding="utf-8"?>
<comments xmlns="http://schemas.openxmlformats.org/spreadsheetml/2006/main">
  <authors>
    <author>Thierry Platon</author>
  </authors>
  <commentList>
    <comment ref="C6" authorId="0">
      <text>
        <r>
          <rPr>
            <sz val="8"/>
            <rFont val="Tahoma"/>
            <family val="0"/>
          </rPr>
          <t xml:space="preserve">corde  côté emplanture en mm
</t>
        </r>
      </text>
    </comment>
    <comment ref="C7" authorId="0">
      <text>
        <r>
          <rPr>
            <b/>
            <sz val="8"/>
            <rFont val="Tahoma"/>
            <family val="0"/>
          </rPr>
          <t>corde  côté saumon en mm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longueur de chaque panneau en mm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flèche en mm au bord d'attaque du panneau entre corde emplanture et corde saumon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Longueur de chaque panneau en mm 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empennage Classique:  C
empennage en V   :      V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empennage en  T  :      T</t>
        </r>
        <r>
          <rPr>
            <sz val="8"/>
            <rFont val="Tahoma"/>
            <family val="0"/>
          </rPr>
          <t xml:space="preserve"> </t>
        </r>
      </text>
    </comment>
    <comment ref="C25" authorId="0">
      <text>
        <r>
          <rPr>
            <b/>
            <sz val="8"/>
            <rFont val="Tahoma"/>
            <family val="0"/>
          </rPr>
          <t>distance : nez fuselage - Bord d'attaque emplanture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 xml:space="preserve">calcul de la largeur fuselage entre les 2 ailes.
Vérifier que cette largeur est cohérente
</t>
        </r>
      </text>
    </comment>
    <comment ref="C27" authorId="0">
      <text>
        <r>
          <rPr>
            <b/>
            <sz val="8"/>
            <rFont val="Tahoma"/>
            <family val="0"/>
          </rPr>
          <t>Distance entre bord d'attaque aile et bord d'attaque stab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Surface de la projection horizontale du fuselage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Coefficient de portance du fuselage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position du foyer fuselage:
-la valeur est automatiquement calculée pour un fuselage "classique"
- pour un fuselage type pod+tube prendre 0,17
-pour un fuselage de largeur constante (type minitoon) prendre 0,25)</t>
        </r>
      </text>
    </comment>
    <comment ref="Q19" authorId="0">
      <text>
        <r>
          <rPr>
            <b/>
            <sz val="8"/>
            <rFont val="Tahoma"/>
            <family val="0"/>
          </rPr>
          <t>Thierry Platon:</t>
        </r>
        <r>
          <rPr>
            <sz val="8"/>
            <rFont val="Tahoma"/>
            <family val="0"/>
          </rPr>
          <t xml:space="preserve">
volume de stab standard</t>
        </r>
      </text>
    </comment>
    <comment ref="Q20" authorId="0">
      <text>
        <r>
          <rPr>
            <b/>
            <sz val="8"/>
            <rFont val="Tahoma"/>
            <family val="0"/>
          </rPr>
          <t>Thierry Platon:</t>
        </r>
        <r>
          <rPr>
            <sz val="8"/>
            <rFont val="Tahoma"/>
            <family val="0"/>
          </rPr>
          <t xml:space="preserve">
volume de stab relatif au bras de levier CG planeur-foyer stab</t>
        </r>
      </text>
    </comment>
  </commentList>
</comments>
</file>

<file path=xl/comments3.xml><?xml version="1.0" encoding="utf-8"?>
<comments xmlns="http://schemas.openxmlformats.org/spreadsheetml/2006/main">
  <authors>
    <author>Thierry Platon</author>
  </authors>
  <commentList>
    <comment ref="C29" authorId="0">
      <text>
        <r>
          <rPr>
            <b/>
            <sz val="8"/>
            <rFont val="Tahoma"/>
            <family val="0"/>
          </rPr>
          <t>Coefficient de portance du fuselage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position du foyer fuselage:
-la valeur est automatiquement calculée pour un fuselage "classique"
- pour un fuselage type pod+tube prendre 0,17
-pour un fuselage de largeur constante (type minitoon) prendre 0,25)</t>
        </r>
      </text>
    </comment>
    <comment ref="C6" authorId="0">
      <text>
        <r>
          <rPr>
            <sz val="8"/>
            <rFont val="Tahoma"/>
            <family val="0"/>
          </rPr>
          <t xml:space="preserve">corde  côté emplanture en mm
</t>
        </r>
      </text>
    </comment>
    <comment ref="C7" authorId="0">
      <text>
        <r>
          <rPr>
            <b/>
            <sz val="8"/>
            <rFont val="Tahoma"/>
            <family val="0"/>
          </rPr>
          <t>corde  côté saumon en mm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longueur de chaque panneau en mm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flèche en mm au bord d'attaque du panneau entre corde emplanture et corde saumon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Longueur de chaque panneau. Pour un stab en V prendre la longueur de la projection horizontale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empennage Classique:  C
empennage en V   :      V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empennage en  T  :      T</t>
        </r>
        <r>
          <rPr>
            <sz val="8"/>
            <rFont val="Tahoma"/>
            <family val="0"/>
          </rPr>
          <t xml:space="preserve"> </t>
        </r>
      </text>
    </comment>
    <comment ref="C25" authorId="0">
      <text>
        <r>
          <rPr>
            <b/>
            <sz val="8"/>
            <rFont val="Tahoma"/>
            <family val="0"/>
          </rPr>
          <t>distance : nez fuselage - Bord d'attaque emplanture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 xml:space="preserve">calcul de la largeur fuselage entre les 2 ailes.
Vérifier que cette largeur est cohérente
</t>
        </r>
      </text>
    </comment>
    <comment ref="C27" authorId="0">
      <text>
        <r>
          <rPr>
            <b/>
            <sz val="8"/>
            <rFont val="Tahoma"/>
            <family val="0"/>
          </rPr>
          <t>Distance entre bord d'attaque aile et bord d'attaque stab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Surface de la projection horizontale du fuselage</t>
        </r>
        <r>
          <rPr>
            <sz val="8"/>
            <rFont val="Tahoma"/>
            <family val="0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0"/>
          </rPr>
          <t>Thierry Platon:</t>
        </r>
        <r>
          <rPr>
            <sz val="8"/>
            <rFont val="Tahoma"/>
            <family val="0"/>
          </rPr>
          <t xml:space="preserve">
volume de stab standard</t>
        </r>
      </text>
    </comment>
    <comment ref="Q20" authorId="0">
      <text>
        <r>
          <rPr>
            <b/>
            <sz val="8"/>
            <rFont val="Tahoma"/>
            <family val="0"/>
          </rPr>
          <t>Thierry Platon:</t>
        </r>
        <r>
          <rPr>
            <sz val="8"/>
            <rFont val="Tahoma"/>
            <family val="0"/>
          </rPr>
          <t xml:space="preserve">
volume de stab relatif au bras de levier CG planeur-foyer stab</t>
        </r>
      </text>
    </comment>
  </commentList>
</comments>
</file>

<file path=xl/sharedStrings.xml><?xml version="1.0" encoding="utf-8"?>
<sst xmlns="http://schemas.openxmlformats.org/spreadsheetml/2006/main" count="298" uniqueCount="102">
  <si>
    <t>Aile</t>
  </si>
  <si>
    <t>panneau1</t>
  </si>
  <si>
    <t>panneau 2</t>
  </si>
  <si>
    <t>panneau 3</t>
  </si>
  <si>
    <t>panneau 4</t>
  </si>
  <si>
    <t>panneau 5</t>
  </si>
  <si>
    <t>RESULTATS</t>
  </si>
  <si>
    <t>corde  emp.   mm</t>
  </si>
  <si>
    <t>mm</t>
  </si>
  <si>
    <t>corde saum.  mm</t>
  </si>
  <si>
    <t>Autres résultats</t>
  </si>
  <si>
    <t>longueur        mm</t>
  </si>
  <si>
    <t>Position foyer planeur</t>
  </si>
  <si>
    <t>envergure</t>
  </si>
  <si>
    <t>flèche BA      mm</t>
  </si>
  <si>
    <t>Position Foyer /BA emplanture</t>
  </si>
  <si>
    <t>Surface standard</t>
  </si>
  <si>
    <t>dm²</t>
  </si>
  <si>
    <t>Envergure totale</t>
  </si>
  <si>
    <t>Position Foyer en % CAM</t>
  </si>
  <si>
    <t>%</t>
  </si>
  <si>
    <t>Allongement</t>
  </si>
  <si>
    <t xml:space="preserve">profil </t>
  </si>
  <si>
    <t>Cm0 profil</t>
  </si>
  <si>
    <t>Corde aérodynamique</t>
  </si>
  <si>
    <t>MG05</t>
  </si>
  <si>
    <t xml:space="preserve">alpha0 </t>
  </si>
  <si>
    <t>°</t>
  </si>
  <si>
    <t>Flèche emplanture/Cam</t>
  </si>
  <si>
    <t>dCz/dAlpha</t>
  </si>
  <si>
    <t>A.aile</t>
  </si>
  <si>
    <t>dCm/dAlpha</t>
  </si>
  <si>
    <t xml:space="preserve">Centrage pour marge statique = </t>
  </si>
  <si>
    <t>Stab</t>
  </si>
  <si>
    <t>Surface</t>
  </si>
  <si>
    <t>Position CG/BA emplanture</t>
  </si>
  <si>
    <t>Position foyer en % CAM</t>
  </si>
  <si>
    <t>volume de stab</t>
  </si>
  <si>
    <t>Type empennage</t>
  </si>
  <si>
    <t>C</t>
  </si>
  <si>
    <t>A.stab</t>
  </si>
  <si>
    <t>Fuselage</t>
  </si>
  <si>
    <t>bras de levier arrière</t>
  </si>
  <si>
    <t>coefficient sillage</t>
  </si>
  <si>
    <t>longueur fuselage</t>
  </si>
  <si>
    <t>Longueur avant</t>
  </si>
  <si>
    <t>largeur fuselage</t>
  </si>
  <si>
    <t>D aile/ stab</t>
  </si>
  <si>
    <t>Surface fuselage</t>
  </si>
  <si>
    <t>A.fus.</t>
  </si>
  <si>
    <t>X fus.</t>
  </si>
  <si>
    <t>surface</t>
  </si>
  <si>
    <t>X =</t>
  </si>
  <si>
    <t>cam</t>
  </si>
  <si>
    <t>H</t>
  </si>
  <si>
    <t>Ss/Sa</t>
  </si>
  <si>
    <t>S*cam</t>
  </si>
  <si>
    <t>L</t>
  </si>
  <si>
    <t>Sf/Sa</t>
  </si>
  <si>
    <t>f emp-cam</t>
  </si>
  <si>
    <t>L/C</t>
  </si>
  <si>
    <t>allong aile</t>
  </si>
  <si>
    <t>allong stab</t>
  </si>
  <si>
    <t>stab</t>
  </si>
  <si>
    <t>surface horizontale</t>
  </si>
  <si>
    <t>Lar</t>
  </si>
  <si>
    <t>Xf</t>
  </si>
  <si>
    <t>coeff.sillage</t>
  </si>
  <si>
    <t>Sf</t>
  </si>
  <si>
    <t>epsilon</t>
  </si>
  <si>
    <t>dénom.</t>
  </si>
  <si>
    <t>Foyer brut</t>
  </si>
  <si>
    <t xml:space="preserve">correction sillage </t>
  </si>
  <si>
    <t>correction Cm</t>
  </si>
  <si>
    <t>D avant-Faile</t>
  </si>
  <si>
    <t>F fus</t>
  </si>
  <si>
    <t>correction fus</t>
  </si>
  <si>
    <t>Foyer complet</t>
  </si>
  <si>
    <t>foyer réel mesuré</t>
  </si>
  <si>
    <t>calage aile</t>
  </si>
  <si>
    <t>X'f</t>
  </si>
  <si>
    <t>Vcg</t>
  </si>
  <si>
    <t>k'</t>
  </si>
  <si>
    <t>k</t>
  </si>
  <si>
    <t>Lf/C</t>
  </si>
  <si>
    <t>Vlongi</t>
  </si>
  <si>
    <t>Cz</t>
  </si>
  <si>
    <t xml:space="preserve">Vlongitudinal      pour     Cz =       </t>
  </si>
  <si>
    <t xml:space="preserve">V.longi </t>
  </si>
  <si>
    <t>SB95/97</t>
  </si>
  <si>
    <t>coefficient k</t>
  </si>
  <si>
    <t>coefficient k'</t>
  </si>
  <si>
    <t>. Il suffit de saisir les données géométriques du planeur dans les cases jaunes, de choisir une marge statique souhaitée (de M=0% à M=5%), et de lire le résultat dans les cases bleues (position du foyer, point de centrage pour la marge statique souhaitée, V longitudinal,…).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</si>
  <si>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soit de se faire une idée des variations de position du foyer en cas de non linéarité  de certains de ces paramètres (variations de dCz/dAlpha ou de dCm/dAlpha)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</si>
  <si>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soit de rechercher des jeux de valeurs plus pertinents (coefficient de sillage k, portance fuselage A</t>
    </r>
    <r>
      <rPr>
        <sz val="8"/>
        <rFont val="Times New Roman"/>
        <family val="1"/>
      </rPr>
      <t>fus,</t>
    </r>
    <r>
      <rPr>
        <sz val="12"/>
        <rFont val="Times New Roman"/>
        <family val="1"/>
      </rPr>
      <t xml:space="preserve"> ou position foyer fuselage X</t>
    </r>
    <r>
      <rPr>
        <sz val="8"/>
        <rFont val="Times New Roman"/>
        <family val="1"/>
      </rPr>
      <t>fus</t>
    </r>
    <r>
      <rPr>
        <sz val="12"/>
        <rFont val="Times New Roman"/>
        <family val="1"/>
      </rPr>
      <t>).</t>
    </r>
  </si>
  <si>
    <t>DONNEES</t>
  </si>
  <si>
    <t xml:space="preserve"> le Vlongitudinal dépend du Cz de vol . Si on entre les valeurs de Cz max on peut calculer les débattements profondeurs  à adopter.</t>
  </si>
  <si>
    <t>Pour calculer la compensation profondeur il faut d'abord entrer les valeurs de Alpha0 et Cm0 du profil en lisse , en déduire le Cz de vol pour un Cz donné . Puis recommencer avec les valeurs d'Alpha0 et Cm0 correspondant au braquage des volet souhaité.</t>
  </si>
  <si>
    <r>
      <t xml:space="preserve">Les cellules oranges contiennent des constantes aérodynamiques dont les valeurs ont été optimisées sur la base de mesures réalisées sur une vingtaine de planeurs différents allant du Crobe ( micro-planeur de  63 cm d’envergure), au Foka de plus de 6m, en passant par divers 60 pouces et planeurs de voltige entre 2 et 4m50 d’envergure. </t>
    </r>
    <r>
      <rPr>
        <b/>
        <sz val="12"/>
        <rFont val="Times New Roman"/>
        <family val="1"/>
      </rPr>
      <t>On évitera donc de changer ces constantes au risque d’obtenir des résultats moins précis</t>
    </r>
    <r>
      <rPr>
        <sz val="12"/>
        <rFont val="Times New Roman"/>
        <family val="1"/>
      </rPr>
      <t>. Il reste cependant possible de les ajuster, ceci permettra :</t>
    </r>
  </si>
  <si>
    <t>Il est conseillé de lire tous les commentaires figurant dans les case avec un onglet rouge</t>
  </si>
  <si>
    <t>Parmis les résultats fournis on trouve les valeurs des coefficient k et k' ainsi que Aa et As qui peuvent servir dans d'autres  calculs</t>
  </si>
  <si>
    <t>L'exemple du Voltij correspond à un braquage de volet de +5°(Alpha0=-3,1° et Cm0=-0,05) et celui du F-CIEL à un planeur en lisse.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</si>
</sst>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4" borderId="0" xfId="0" applyFill="1" applyBorder="1" applyAlignment="1">
      <alignment/>
    </xf>
    <xf numFmtId="0" fontId="1" fillId="4" borderId="12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14" xfId="0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4" borderId="11" xfId="0" applyFill="1" applyBorder="1" applyAlignment="1">
      <alignment/>
    </xf>
    <xf numFmtId="164" fontId="0" fillId="5" borderId="0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2" borderId="11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6" xfId="0" applyFill="1" applyBorder="1" applyAlignment="1">
      <alignment/>
    </xf>
    <xf numFmtId="2" fontId="0" fillId="4" borderId="16" xfId="0" applyNumberFormat="1" applyFill="1" applyBorder="1" applyAlignment="1">
      <alignment/>
    </xf>
    <xf numFmtId="0" fontId="0" fillId="3" borderId="6" xfId="0" applyFill="1" applyBorder="1" applyAlignment="1">
      <alignment/>
    </xf>
    <xf numFmtId="164" fontId="0" fillId="4" borderId="0" xfId="0" applyNumberFormat="1" applyFill="1" applyBorder="1" applyAlignment="1">
      <alignment/>
    </xf>
    <xf numFmtId="0" fontId="0" fillId="6" borderId="10" xfId="0" applyFont="1" applyFill="1" applyBorder="1" applyAlignment="1">
      <alignment/>
    </xf>
    <xf numFmtId="165" fontId="0" fillId="5" borderId="0" xfId="0" applyNumberForma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6" borderId="21" xfId="0" applyFill="1" applyBorder="1" applyAlignment="1">
      <alignment/>
    </xf>
    <xf numFmtId="0" fontId="1" fillId="2" borderId="12" xfId="0" applyFont="1" applyFill="1" applyBorder="1" applyAlignment="1">
      <alignment horizontal="right"/>
    </xf>
    <xf numFmtId="0" fontId="0" fillId="3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24" xfId="0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2" borderId="25" xfId="0" applyFill="1" applyBorder="1" applyAlignment="1">
      <alignment/>
    </xf>
    <xf numFmtId="2" fontId="0" fillId="5" borderId="0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4" borderId="25" xfId="0" applyFill="1" applyBorder="1" applyAlignment="1">
      <alignment/>
    </xf>
    <xf numFmtId="0" fontId="0" fillId="6" borderId="10" xfId="0" applyFill="1" applyBorder="1" applyAlignment="1">
      <alignment/>
    </xf>
    <xf numFmtId="0" fontId="0" fillId="4" borderId="20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5" borderId="10" xfId="0" applyFill="1" applyBorder="1" applyAlignment="1">
      <alignment/>
    </xf>
    <xf numFmtId="0" fontId="0" fillId="4" borderId="26" xfId="0" applyFill="1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164" fontId="0" fillId="0" borderId="0" xfId="0" applyNumberFormat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1" xfId="0" applyFill="1" applyBorder="1" applyAlignment="1">
      <alignment/>
    </xf>
    <xf numFmtId="0" fontId="0" fillId="3" borderId="0" xfId="0" applyFill="1" applyAlignment="1">
      <alignment/>
    </xf>
    <xf numFmtId="164" fontId="0" fillId="7" borderId="0" xfId="0" applyNumberFormat="1" applyFill="1" applyAlignment="1">
      <alignment/>
    </xf>
    <xf numFmtId="2" fontId="0" fillId="0" borderId="0" xfId="0" applyNumberFormat="1" applyAlignment="1">
      <alignment/>
    </xf>
    <xf numFmtId="164" fontId="1" fillId="5" borderId="20" xfId="0" applyNumberFormat="1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34" xfId="0" applyFont="1" applyFill="1" applyBorder="1" applyAlignment="1">
      <alignment horizontal="left"/>
    </xf>
    <xf numFmtId="2" fontId="0" fillId="3" borderId="17" xfId="0" applyNumberFormat="1" applyFill="1" applyBorder="1" applyAlignment="1">
      <alignment/>
    </xf>
    <xf numFmtId="0" fontId="0" fillId="2" borderId="35" xfId="0" applyFill="1" applyBorder="1" applyAlignment="1">
      <alignment/>
    </xf>
    <xf numFmtId="0" fontId="0" fillId="3" borderId="7" xfId="0" applyFill="1" applyBorder="1" applyAlignment="1">
      <alignment horizontal="center"/>
    </xf>
    <xf numFmtId="1" fontId="0" fillId="5" borderId="16" xfId="0" applyNumberFormat="1" applyFill="1" applyBorder="1" applyAlignment="1">
      <alignment/>
    </xf>
    <xf numFmtId="0" fontId="0" fillId="4" borderId="27" xfId="0" applyFill="1" applyBorder="1" applyAlignment="1">
      <alignment/>
    </xf>
    <xf numFmtId="2" fontId="0" fillId="5" borderId="20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4" borderId="11" xfId="0" applyFont="1" applyFill="1" applyBorder="1" applyAlignment="1">
      <alignment horizontal="left"/>
    </xf>
    <xf numFmtId="0" fontId="0" fillId="4" borderId="31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36" xfId="0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2" borderId="3" xfId="0" applyFill="1" applyBorder="1" applyAlignment="1">
      <alignment/>
    </xf>
    <xf numFmtId="0" fontId="0" fillId="2" borderId="37" xfId="0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64" fontId="0" fillId="5" borderId="1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6"/>
  <sheetViews>
    <sheetView workbookViewId="0" topLeftCell="A1">
      <selection activeCell="A35" sqref="A34:A35"/>
    </sheetView>
  </sheetViews>
  <sheetFormatPr defaultColWidth="11.421875" defaultRowHeight="12.75"/>
  <cols>
    <col min="1" max="1" width="151.00390625" style="0" customWidth="1"/>
  </cols>
  <sheetData>
    <row r="2" ht="15.75">
      <c r="A2" s="104" t="s">
        <v>99</v>
      </c>
    </row>
    <row r="4" ht="31.5">
      <c r="A4" s="104" t="s">
        <v>92</v>
      </c>
    </row>
    <row r="5" ht="15.75">
      <c r="A5" s="104"/>
    </row>
    <row r="6" ht="15.75">
      <c r="A6" s="104" t="s">
        <v>101</v>
      </c>
    </row>
    <row r="7" ht="15.75">
      <c r="A7" s="104"/>
    </row>
    <row r="8" ht="31.5">
      <c r="A8" s="104" t="s">
        <v>97</v>
      </c>
    </row>
    <row r="9" ht="15.75">
      <c r="A9" s="104"/>
    </row>
    <row r="10" ht="15.75">
      <c r="A10" s="104" t="s">
        <v>96</v>
      </c>
    </row>
    <row r="11" ht="15.75">
      <c r="A11" s="104"/>
    </row>
    <row r="12" ht="47.25">
      <c r="A12" s="104" t="s">
        <v>98</v>
      </c>
    </row>
    <row r="13" ht="15.75">
      <c r="A13" s="103" t="s">
        <v>93</v>
      </c>
    </row>
    <row r="14" ht="15.75">
      <c r="A14" s="103" t="s">
        <v>94</v>
      </c>
    </row>
    <row r="16" ht="15.75">
      <c r="A16" s="104" t="s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83"/>
  <sheetViews>
    <sheetView workbookViewId="0" topLeftCell="A1">
      <selection activeCell="L30" sqref="L30"/>
    </sheetView>
  </sheetViews>
  <sheetFormatPr defaultColWidth="11.421875" defaultRowHeight="12.75"/>
  <cols>
    <col min="1" max="1" width="7.7109375" style="0" customWidth="1"/>
    <col min="2" max="2" width="9.421875" style="0" customWidth="1"/>
    <col min="3" max="3" width="10.7109375" style="0" customWidth="1"/>
    <col min="4" max="4" width="7.421875" style="0" customWidth="1"/>
    <col min="5" max="5" width="8.00390625" style="0" customWidth="1"/>
    <col min="6" max="6" width="7.8515625" style="0" customWidth="1"/>
    <col min="7" max="7" width="7.7109375" style="0" customWidth="1"/>
    <col min="8" max="8" width="8.140625" style="0" customWidth="1"/>
    <col min="9" max="9" width="4.140625" style="0" customWidth="1"/>
    <col min="10" max="10" width="3.421875" style="0" customWidth="1"/>
    <col min="11" max="11" width="4.8515625" style="0" customWidth="1"/>
    <col min="12" max="12" width="31.7109375" style="0" customWidth="1"/>
    <col min="13" max="13" width="5.421875" style="0" customWidth="1"/>
    <col min="14" max="14" width="3.8515625" style="0" customWidth="1"/>
    <col min="15" max="15" width="6.140625" style="0" customWidth="1"/>
    <col min="16" max="16" width="8.28125" style="0" customWidth="1"/>
    <col min="17" max="17" width="20.7109375" style="0" customWidth="1"/>
    <col min="18" max="18" width="7.421875" style="0" customWidth="1"/>
    <col min="19" max="19" width="5.28125" style="0" customWidth="1"/>
    <col min="20" max="20" width="3.421875" style="0" customWidth="1"/>
  </cols>
  <sheetData>
    <row r="2" spans="12:13" ht="12.75">
      <c r="L2" s="1"/>
      <c r="M2" s="105"/>
    </row>
    <row r="3" ht="13.5" thickBot="1">
      <c r="M3" s="106"/>
    </row>
    <row r="4" spans="2:9" ht="20.25" customHeight="1" thickBot="1" thickTop="1">
      <c r="B4" s="109" t="s">
        <v>95</v>
      </c>
      <c r="C4" s="110"/>
      <c r="D4" s="110"/>
      <c r="E4" s="110"/>
      <c r="F4" s="110"/>
      <c r="G4" s="110"/>
      <c r="H4" s="110"/>
      <c r="I4" s="111"/>
    </row>
    <row r="5" spans="2:20" ht="17.25" thickBot="1" thickTop="1">
      <c r="B5" s="107" t="s">
        <v>0</v>
      </c>
      <c r="C5" s="107"/>
      <c r="D5" s="4" t="s">
        <v>1</v>
      </c>
      <c r="E5" s="5" t="s">
        <v>2</v>
      </c>
      <c r="F5" s="6" t="s">
        <v>3</v>
      </c>
      <c r="G5" s="5" t="s">
        <v>4</v>
      </c>
      <c r="H5" s="5" t="s">
        <v>5</v>
      </c>
      <c r="I5" s="108"/>
      <c r="K5" s="98" t="s">
        <v>6</v>
      </c>
      <c r="L5" s="99"/>
      <c r="M5" s="99"/>
      <c r="N5" s="99"/>
      <c r="O5" s="99"/>
      <c r="P5" s="99"/>
      <c r="Q5" s="99"/>
      <c r="R5" s="99"/>
      <c r="S5" s="99"/>
      <c r="T5" s="100"/>
    </row>
    <row r="6" spans="2:20" ht="14.25" thickBot="1" thickTop="1">
      <c r="B6" s="8"/>
      <c r="C6" s="9" t="s">
        <v>7</v>
      </c>
      <c r="D6" s="14">
        <v>250</v>
      </c>
      <c r="E6" s="23">
        <f>IF(E7,D7,0)</f>
        <v>0</v>
      </c>
      <c r="F6" s="23">
        <f>IF(F7,E7,0)</f>
        <v>0</v>
      </c>
      <c r="G6" s="23">
        <f>IF(G7,F7,0)</f>
        <v>0</v>
      </c>
      <c r="H6" s="23">
        <f>IF(H7,G7,0)</f>
        <v>0</v>
      </c>
      <c r="I6" s="12" t="s">
        <v>8</v>
      </c>
      <c r="K6" s="13"/>
      <c r="L6" s="9"/>
      <c r="M6" s="9"/>
      <c r="N6" s="9"/>
      <c r="O6" s="9"/>
      <c r="P6" s="9"/>
      <c r="Q6" s="9"/>
      <c r="R6" s="9"/>
      <c r="S6" s="9"/>
      <c r="T6" s="12"/>
    </row>
    <row r="7" spans="2:20" ht="14.25" thickBot="1" thickTop="1">
      <c r="B7" s="8"/>
      <c r="C7" s="9" t="s">
        <v>9</v>
      </c>
      <c r="D7" s="14">
        <v>120</v>
      </c>
      <c r="E7" s="14"/>
      <c r="F7" s="15"/>
      <c r="G7" s="14"/>
      <c r="H7" s="14"/>
      <c r="I7" s="12" t="s">
        <v>8</v>
      </c>
      <c r="K7" s="13"/>
      <c r="L7" s="16"/>
      <c r="M7" s="9"/>
      <c r="N7" s="9"/>
      <c r="O7" s="9"/>
      <c r="P7" s="17" t="s">
        <v>10</v>
      </c>
      <c r="Q7" s="18"/>
      <c r="R7" s="9"/>
      <c r="S7" s="9"/>
      <c r="T7" s="12"/>
    </row>
    <row r="8" spans="2:20" ht="16.5" thickBot="1" thickTop="1">
      <c r="B8" s="8"/>
      <c r="C8" s="9" t="s">
        <v>11</v>
      </c>
      <c r="D8" s="14">
        <v>980</v>
      </c>
      <c r="E8" s="14"/>
      <c r="F8" s="15"/>
      <c r="G8" s="14"/>
      <c r="H8" s="14"/>
      <c r="I8" s="12" t="s">
        <v>8</v>
      </c>
      <c r="K8" s="13"/>
      <c r="L8" s="19" t="s">
        <v>12</v>
      </c>
      <c r="M8" s="16"/>
      <c r="N8" s="16"/>
      <c r="O8" s="9"/>
      <c r="P8" s="20" t="s">
        <v>0</v>
      </c>
      <c r="Q8" s="21" t="s">
        <v>13</v>
      </c>
      <c r="R8" s="22">
        <f>E10</f>
        <v>2020</v>
      </c>
      <c r="S8" s="7" t="s">
        <v>8</v>
      </c>
      <c r="T8" s="12"/>
    </row>
    <row r="9" spans="2:20" ht="15.75" thickTop="1">
      <c r="B9" s="8"/>
      <c r="C9" s="23" t="s">
        <v>14</v>
      </c>
      <c r="D9" s="14">
        <v>50</v>
      </c>
      <c r="E9" s="14"/>
      <c r="F9" s="15"/>
      <c r="G9" s="14"/>
      <c r="H9" s="14"/>
      <c r="I9" s="12" t="s">
        <v>8</v>
      </c>
      <c r="K9" s="13"/>
      <c r="L9" s="24" t="s">
        <v>15</v>
      </c>
      <c r="M9" s="25">
        <f>B79*R11+R12</f>
        <v>99.27782316028733</v>
      </c>
      <c r="N9" s="26" t="s">
        <v>8</v>
      </c>
      <c r="O9" s="9"/>
      <c r="P9" s="8"/>
      <c r="Q9" s="27" t="s">
        <v>16</v>
      </c>
      <c r="R9" s="28">
        <f>H52</f>
        <v>37.76</v>
      </c>
      <c r="S9" s="29" t="s">
        <v>17</v>
      </c>
      <c r="T9" s="12"/>
    </row>
    <row r="10" spans="2:20" ht="13.5" thickBot="1">
      <c r="B10" s="8"/>
      <c r="C10" s="30" t="s">
        <v>18</v>
      </c>
      <c r="D10" s="31"/>
      <c r="E10" s="10">
        <v>2020</v>
      </c>
      <c r="F10" s="31" t="s">
        <v>8</v>
      </c>
      <c r="G10" s="31"/>
      <c r="H10" s="31"/>
      <c r="I10" s="12"/>
      <c r="K10" s="13"/>
      <c r="L10" s="32" t="s">
        <v>19</v>
      </c>
      <c r="M10" s="28">
        <f>B79*100</f>
        <v>40.083434849354035</v>
      </c>
      <c r="N10" s="29" t="s">
        <v>20</v>
      </c>
      <c r="O10" s="9"/>
      <c r="P10" s="32"/>
      <c r="Q10" s="27" t="s">
        <v>21</v>
      </c>
      <c r="R10" s="28">
        <f>R8*R8/(10000*R9)</f>
        <v>10.80614406779661</v>
      </c>
      <c r="S10" s="29"/>
      <c r="T10" s="12"/>
    </row>
    <row r="11" spans="2:20" ht="13.5" thickTop="1">
      <c r="B11" s="33" t="s">
        <v>22</v>
      </c>
      <c r="C11" s="27" t="s">
        <v>23</v>
      </c>
      <c r="D11" s="9"/>
      <c r="E11" s="14">
        <v>-0.05</v>
      </c>
      <c r="F11" s="27"/>
      <c r="G11" s="9"/>
      <c r="H11" s="9"/>
      <c r="I11" s="12"/>
      <c r="K11" s="13"/>
      <c r="L11" s="34"/>
      <c r="M11" s="35"/>
      <c r="N11" s="34"/>
      <c r="O11" s="9"/>
      <c r="P11" s="32"/>
      <c r="Q11" s="27" t="s">
        <v>24</v>
      </c>
      <c r="R11" s="28">
        <f>H53</f>
        <v>192.61261261261262</v>
      </c>
      <c r="S11" s="29" t="s">
        <v>8</v>
      </c>
      <c r="T11" s="12"/>
    </row>
    <row r="12" spans="2:20" ht="12.75">
      <c r="B12" s="36" t="s">
        <v>25</v>
      </c>
      <c r="C12" s="27" t="s">
        <v>26</v>
      </c>
      <c r="D12" s="9"/>
      <c r="E12" s="14">
        <v>-3.1</v>
      </c>
      <c r="F12" s="27" t="s">
        <v>27</v>
      </c>
      <c r="G12" s="9"/>
      <c r="H12" s="9"/>
      <c r="I12" s="12"/>
      <c r="K12" s="13"/>
      <c r="L12" s="16"/>
      <c r="M12" s="37"/>
      <c r="N12" s="16"/>
      <c r="O12" s="9"/>
      <c r="P12" s="32"/>
      <c r="Q12" s="27" t="s">
        <v>28</v>
      </c>
      <c r="R12" s="28">
        <f>H55</f>
        <v>22.07207207207207</v>
      </c>
      <c r="S12" s="29" t="s">
        <v>8</v>
      </c>
      <c r="T12" s="12"/>
    </row>
    <row r="13" spans="2:20" ht="13.5" thickBot="1">
      <c r="B13" s="36"/>
      <c r="C13" s="27" t="s">
        <v>79</v>
      </c>
      <c r="D13" s="9"/>
      <c r="E13" s="14">
        <v>0</v>
      </c>
      <c r="F13" s="27"/>
      <c r="G13" s="9"/>
      <c r="H13" s="9"/>
      <c r="I13" s="12"/>
      <c r="K13" s="13"/>
      <c r="L13" s="9"/>
      <c r="M13" s="9"/>
      <c r="N13" s="9"/>
      <c r="O13" s="9"/>
      <c r="P13" s="33"/>
      <c r="Q13" s="27" t="s">
        <v>30</v>
      </c>
      <c r="R13" s="39">
        <f>E14*R10/(2+R10)</f>
        <v>0.09282074613284803</v>
      </c>
      <c r="S13" s="29"/>
      <c r="T13" s="12"/>
    </row>
    <row r="14" spans="2:20" ht="14.25" thickBot="1" thickTop="1">
      <c r="B14" s="8"/>
      <c r="C14" s="27" t="s">
        <v>29</v>
      </c>
      <c r="D14" s="9"/>
      <c r="E14" s="38">
        <v>0.11</v>
      </c>
      <c r="F14" s="27"/>
      <c r="G14" s="9"/>
      <c r="H14" s="9"/>
      <c r="I14" s="12"/>
      <c r="K14" s="13"/>
      <c r="L14" s="44" t="s">
        <v>32</v>
      </c>
      <c r="M14" s="45">
        <v>0</v>
      </c>
      <c r="N14" s="46" t="s">
        <v>20</v>
      </c>
      <c r="O14" s="9"/>
      <c r="P14" s="47" t="s">
        <v>33</v>
      </c>
      <c r="Q14" s="34" t="s">
        <v>34</v>
      </c>
      <c r="R14" s="112">
        <f>H61</f>
        <v>4.9875</v>
      </c>
      <c r="S14" s="48" t="s">
        <v>17</v>
      </c>
      <c r="T14" s="12"/>
    </row>
    <row r="15" spans="2:20" ht="14.25" thickBot="1" thickTop="1">
      <c r="B15" s="40"/>
      <c r="C15" s="41" t="s">
        <v>31</v>
      </c>
      <c r="D15" s="42"/>
      <c r="E15" s="43">
        <v>0</v>
      </c>
      <c r="F15" s="41"/>
      <c r="G15" s="42"/>
      <c r="H15" s="42"/>
      <c r="I15" s="12"/>
      <c r="K15" s="13"/>
      <c r="L15" s="50" t="s">
        <v>35</v>
      </c>
      <c r="M15" s="51">
        <f>M16*R11/100+R12</f>
        <v>99.27782316028733</v>
      </c>
      <c r="N15" s="52" t="s">
        <v>8</v>
      </c>
      <c r="O15" s="9"/>
      <c r="P15" s="33"/>
      <c r="Q15" s="16" t="s">
        <v>13</v>
      </c>
      <c r="R15" s="53">
        <f>H67</f>
        <v>570</v>
      </c>
      <c r="S15" s="29" t="s">
        <v>8</v>
      </c>
      <c r="T15" s="12"/>
    </row>
    <row r="16" spans="2:20" ht="13.5" thickTop="1">
      <c r="B16" s="2" t="s">
        <v>33</v>
      </c>
      <c r="C16" s="3"/>
      <c r="D16" s="4" t="s">
        <v>1</v>
      </c>
      <c r="E16" s="5" t="s">
        <v>2</v>
      </c>
      <c r="F16" s="6" t="s">
        <v>3</v>
      </c>
      <c r="G16" s="5" t="s">
        <v>4</v>
      </c>
      <c r="H16" s="5" t="s">
        <v>5</v>
      </c>
      <c r="I16" s="49"/>
      <c r="K16" s="13"/>
      <c r="L16" s="13" t="s">
        <v>36</v>
      </c>
      <c r="M16" s="28">
        <f>M10-M14</f>
        <v>40.083434849354035</v>
      </c>
      <c r="N16" s="12" t="s">
        <v>20</v>
      </c>
      <c r="O16" s="9"/>
      <c r="P16" s="33"/>
      <c r="Q16" s="16" t="s">
        <v>21</v>
      </c>
      <c r="R16" s="28">
        <f>R15*R15/(10000*R14)</f>
        <v>6.514285714285714</v>
      </c>
      <c r="S16" s="29"/>
      <c r="T16" s="12"/>
    </row>
    <row r="17" spans="2:20" ht="12.75">
      <c r="B17" s="8"/>
      <c r="C17" s="9" t="s">
        <v>7</v>
      </c>
      <c r="D17" s="10">
        <v>105</v>
      </c>
      <c r="E17" s="11">
        <f>IF(E18,D18,0)</f>
        <v>0</v>
      </c>
      <c r="F17" s="11">
        <f>IF(F18,E18,0)</f>
        <v>0</v>
      </c>
      <c r="G17" s="54">
        <v>0</v>
      </c>
      <c r="H17" s="11">
        <f>IF(H18,G18,0)</f>
        <v>0</v>
      </c>
      <c r="I17" s="12" t="s">
        <v>8</v>
      </c>
      <c r="K17" s="13"/>
      <c r="L17" s="84" t="s">
        <v>87</v>
      </c>
      <c r="M17" s="85">
        <v>0.5</v>
      </c>
      <c r="N17" s="86"/>
      <c r="O17" s="9"/>
      <c r="P17" s="33"/>
      <c r="Q17" s="16" t="s">
        <v>24</v>
      </c>
      <c r="R17" s="28">
        <f>H63</f>
        <v>88.66666666666667</v>
      </c>
      <c r="S17" s="29" t="s">
        <v>8</v>
      </c>
      <c r="T17" s="12"/>
    </row>
    <row r="18" spans="2:20" ht="13.5" thickBot="1">
      <c r="B18" s="8"/>
      <c r="C18" s="9" t="s">
        <v>9</v>
      </c>
      <c r="D18" s="14">
        <v>70</v>
      </c>
      <c r="E18" s="14">
        <v>0</v>
      </c>
      <c r="F18" s="15">
        <v>0</v>
      </c>
      <c r="G18" s="14"/>
      <c r="H18" s="14"/>
      <c r="I18" s="12" t="s">
        <v>8</v>
      </c>
      <c r="K18" s="13"/>
      <c r="L18" s="56" t="s">
        <v>88</v>
      </c>
      <c r="M18" s="82">
        <f>L56</f>
        <v>-1.3182323381300804</v>
      </c>
      <c r="N18" s="83" t="s">
        <v>27</v>
      </c>
      <c r="O18" s="9"/>
      <c r="P18" s="33"/>
      <c r="Q18" s="16" t="s">
        <v>28</v>
      </c>
      <c r="R18" s="28">
        <f>H65</f>
        <v>14.000000000000002</v>
      </c>
      <c r="S18" s="29" t="s">
        <v>8</v>
      </c>
      <c r="T18" s="12"/>
    </row>
    <row r="19" spans="2:20" ht="13.5" thickTop="1">
      <c r="B19" s="8"/>
      <c r="C19" s="9" t="s">
        <v>11</v>
      </c>
      <c r="D19" s="14">
        <v>285</v>
      </c>
      <c r="E19" s="14">
        <v>0</v>
      </c>
      <c r="F19" s="15">
        <v>0</v>
      </c>
      <c r="G19" s="14"/>
      <c r="H19" s="14"/>
      <c r="I19" s="12" t="s">
        <v>8</v>
      </c>
      <c r="K19" s="13"/>
      <c r="L19" s="16"/>
      <c r="M19" s="16"/>
      <c r="N19" s="16"/>
      <c r="O19" s="9"/>
      <c r="P19" s="33"/>
      <c r="Q19" s="16" t="s">
        <v>37</v>
      </c>
      <c r="R19" s="55">
        <f>H62*R22/(R9*R11)</f>
        <v>0.4703847601438259</v>
      </c>
      <c r="S19" s="29"/>
      <c r="T19" s="12"/>
    </row>
    <row r="20" spans="2:20" ht="12.75">
      <c r="B20" s="8"/>
      <c r="C20" s="23" t="s">
        <v>14</v>
      </c>
      <c r="D20" s="58">
        <v>30</v>
      </c>
      <c r="E20" s="58">
        <v>0</v>
      </c>
      <c r="F20" s="59">
        <v>0</v>
      </c>
      <c r="G20" s="58"/>
      <c r="H20" s="58"/>
      <c r="I20" s="12" t="s">
        <v>8</v>
      </c>
      <c r="K20" s="13"/>
      <c r="L20" s="16"/>
      <c r="M20" s="16"/>
      <c r="N20" s="16"/>
      <c r="O20" s="9"/>
      <c r="P20" s="33"/>
      <c r="Q20" s="16" t="s">
        <v>81</v>
      </c>
      <c r="R20" s="55">
        <f>L51</f>
        <v>0.45046192346184677</v>
      </c>
      <c r="S20" s="29"/>
      <c r="T20" s="12"/>
    </row>
    <row r="21" spans="2:20" ht="13.5" thickBot="1">
      <c r="B21" s="8"/>
      <c r="C21" s="101" t="s">
        <v>38</v>
      </c>
      <c r="D21" s="102"/>
      <c r="E21" s="10" t="s">
        <v>39</v>
      </c>
      <c r="F21" s="60"/>
      <c r="G21" s="31"/>
      <c r="H21" s="31"/>
      <c r="I21" s="12"/>
      <c r="K21" s="13"/>
      <c r="L21" s="9"/>
      <c r="M21" s="9"/>
      <c r="N21" s="9"/>
      <c r="O21" s="9"/>
      <c r="P21" s="40"/>
      <c r="Q21" s="16" t="s">
        <v>40</v>
      </c>
      <c r="R21" s="53">
        <f>E22*R16/(R16+2)</f>
        <v>0.08416107382550335</v>
      </c>
      <c r="S21" s="29"/>
      <c r="T21" s="12"/>
    </row>
    <row r="22" spans="2:20" ht="13.5" thickTop="1">
      <c r="B22" s="33"/>
      <c r="C22" s="16" t="s">
        <v>29</v>
      </c>
      <c r="D22" s="9"/>
      <c r="E22" s="61">
        <v>0.11</v>
      </c>
      <c r="F22" s="16"/>
      <c r="G22" s="9"/>
      <c r="H22" s="9"/>
      <c r="I22" s="12"/>
      <c r="K22" s="13"/>
      <c r="L22" s="9"/>
      <c r="M22" s="9"/>
      <c r="N22" s="9"/>
      <c r="O22" s="9"/>
      <c r="P22" s="47" t="s">
        <v>41</v>
      </c>
      <c r="Q22" s="34" t="s">
        <v>42</v>
      </c>
      <c r="R22" s="88">
        <f>E27-R12-0.25*R11+R18+0.25*R17</f>
        <v>685.9414414414414</v>
      </c>
      <c r="S22" s="48" t="s">
        <v>8</v>
      </c>
      <c r="T22" s="12"/>
    </row>
    <row r="23" spans="2:20" ht="13.5" thickBot="1">
      <c r="B23" s="40"/>
      <c r="C23" s="62" t="s">
        <v>43</v>
      </c>
      <c r="D23" s="42"/>
      <c r="E23" s="43">
        <f>IF(E21="C",1.52,IF(E21="V",1.48,IF(E21="T",1.7,"erreur")))</f>
        <v>1.52</v>
      </c>
      <c r="F23" s="62"/>
      <c r="G23" s="9"/>
      <c r="H23" s="9"/>
      <c r="I23" s="12"/>
      <c r="K23" s="13"/>
      <c r="L23" s="9"/>
      <c r="M23" s="9"/>
      <c r="N23" s="9"/>
      <c r="O23" s="9"/>
      <c r="P23" s="33"/>
      <c r="Q23" s="16" t="s">
        <v>90</v>
      </c>
      <c r="R23" s="55">
        <f>L53</f>
        <v>1.1203147698498275</v>
      </c>
      <c r="S23" s="29"/>
      <c r="T23" s="12"/>
    </row>
    <row r="24" spans="2:20" ht="14.25" thickBot="1" thickTop="1">
      <c r="B24" s="47" t="s">
        <v>41</v>
      </c>
      <c r="C24" s="34" t="s">
        <v>44</v>
      </c>
      <c r="D24" s="63"/>
      <c r="E24" s="64">
        <v>1050</v>
      </c>
      <c r="F24" s="34" t="s">
        <v>8</v>
      </c>
      <c r="G24" s="63"/>
      <c r="H24" s="63"/>
      <c r="I24" s="7"/>
      <c r="K24" s="56"/>
      <c r="L24" s="42"/>
      <c r="M24" s="42"/>
      <c r="N24" s="42"/>
      <c r="O24" s="42"/>
      <c r="P24" s="40"/>
      <c r="Q24" s="62" t="s">
        <v>91</v>
      </c>
      <c r="R24" s="90">
        <f>L54</f>
        <v>0.14932313934404917</v>
      </c>
      <c r="S24" s="89"/>
      <c r="T24" s="57"/>
    </row>
    <row r="25" spans="2:9" ht="13.5" thickTop="1">
      <c r="B25" s="33"/>
      <c r="C25" s="94" t="s">
        <v>45</v>
      </c>
      <c r="D25" s="95"/>
      <c r="E25" s="14">
        <v>355</v>
      </c>
      <c r="F25" s="16" t="s">
        <v>8</v>
      </c>
      <c r="G25" s="9"/>
      <c r="H25" s="9"/>
      <c r="I25" s="12"/>
    </row>
    <row r="26" spans="2:9" ht="12.75">
      <c r="B26" s="33"/>
      <c r="C26" s="94" t="s">
        <v>46</v>
      </c>
      <c r="D26" s="95"/>
      <c r="E26" s="66">
        <f>E10-H57</f>
        <v>60</v>
      </c>
      <c r="F26" s="16" t="s">
        <v>8</v>
      </c>
      <c r="G26" s="9"/>
      <c r="H26" s="9"/>
      <c r="I26" s="12"/>
    </row>
    <row r="27" spans="2:9" ht="12.75">
      <c r="B27" s="33"/>
      <c r="C27" s="92" t="s">
        <v>47</v>
      </c>
      <c r="D27" s="93"/>
      <c r="E27" s="14">
        <v>720</v>
      </c>
      <c r="F27" s="16" t="s">
        <v>8</v>
      </c>
      <c r="G27" s="9"/>
      <c r="H27" s="9"/>
      <c r="I27" s="12"/>
    </row>
    <row r="28" spans="2:9" ht="12.75">
      <c r="B28" s="33"/>
      <c r="C28" s="94" t="s">
        <v>48</v>
      </c>
      <c r="D28" s="95"/>
      <c r="E28" s="14">
        <v>3.4</v>
      </c>
      <c r="F28" s="16" t="s">
        <v>17</v>
      </c>
      <c r="G28" s="9"/>
      <c r="H28" s="9"/>
      <c r="I28" s="12"/>
    </row>
    <row r="29" spans="2:9" ht="12.75">
      <c r="B29" s="32"/>
      <c r="C29" s="94" t="s">
        <v>49</v>
      </c>
      <c r="D29" s="95"/>
      <c r="E29" s="61">
        <f>0.06</f>
        <v>0.06</v>
      </c>
      <c r="F29" s="16"/>
      <c r="G29" s="9"/>
      <c r="H29" s="9"/>
      <c r="I29" s="12"/>
    </row>
    <row r="30" spans="2:9" ht="13.5" thickBot="1">
      <c r="B30" s="67"/>
      <c r="C30" s="96" t="s">
        <v>50</v>
      </c>
      <c r="D30" s="97"/>
      <c r="E30" s="43">
        <f>H69</f>
        <v>0.21940667801175212</v>
      </c>
      <c r="F30" s="62"/>
      <c r="G30" s="42"/>
      <c r="H30" s="42"/>
      <c r="I30" s="57"/>
    </row>
    <row r="31" ht="13.5" thickTop="1"/>
    <row r="45" ht="13.5" thickBot="1"/>
    <row r="46" spans="16:20" ht="13.5" thickTop="1">
      <c r="P46" s="91"/>
      <c r="Q46" s="91"/>
      <c r="R46" s="91"/>
      <c r="S46" s="91"/>
      <c r="T46" s="91"/>
    </row>
    <row r="47" ht="12.75">
      <c r="C47" s="65"/>
    </row>
    <row r="50" spans="1:12" ht="12.75">
      <c r="A50" s="68" t="s">
        <v>0</v>
      </c>
      <c r="B50" s="69"/>
      <c r="C50" s="69"/>
      <c r="D50" s="69"/>
      <c r="E50" s="69"/>
      <c r="F50" s="69"/>
      <c r="G50" s="69"/>
      <c r="H50" s="70"/>
      <c r="K50" t="s">
        <v>80</v>
      </c>
      <c r="L50">
        <f>(E30*E24-E25)/R11</f>
        <v>-0.6470136425505281</v>
      </c>
    </row>
    <row r="51" spans="1:12" ht="12.75">
      <c r="A51" s="71" t="s">
        <v>51</v>
      </c>
      <c r="B51" s="72">
        <f>D8*(D7+D6)/20000</f>
        <v>18.13</v>
      </c>
      <c r="C51" s="72">
        <f>E8*(E7+E6)/20000</f>
        <v>0</v>
      </c>
      <c r="D51" s="72">
        <f>F8*(F7+F6)/20000</f>
        <v>0</v>
      </c>
      <c r="E51" s="72">
        <f>G8*(G7+G6)/20000</f>
        <v>0</v>
      </c>
      <c r="F51" s="72">
        <f>H8*(H7+H6)/20000</f>
        <v>0</v>
      </c>
      <c r="G51" s="72"/>
      <c r="H51" s="73">
        <f>2*SUM(B51:F51)</f>
        <v>36.26</v>
      </c>
      <c r="K51" t="s">
        <v>81</v>
      </c>
      <c r="L51">
        <f>R19*(1+(0.25-M16/100)*R11/R22)</f>
        <v>0.45046192346184677</v>
      </c>
    </row>
    <row r="52" spans="1:12" ht="12.75">
      <c r="A52" s="71" t="s">
        <v>16</v>
      </c>
      <c r="B52" s="72"/>
      <c r="C52" s="72"/>
      <c r="D52" s="72"/>
      <c r="E52" s="72"/>
      <c r="F52" s="72"/>
      <c r="G52" s="72"/>
      <c r="H52" s="73">
        <f>H51+D6*E26/10000</f>
        <v>37.76</v>
      </c>
      <c r="K52" t="s">
        <v>84</v>
      </c>
      <c r="L52">
        <f>R22/R11+0.25-M10/100</f>
        <v>3.4104144821893403</v>
      </c>
    </row>
    <row r="53" spans="1:12" ht="12.75">
      <c r="A53" s="71" t="s">
        <v>53</v>
      </c>
      <c r="B53" s="72">
        <f>IF(D6+D7=0,0,2*(D6*D6+D6*D7+D7*D7)/(3*(D6+D7)))</f>
        <v>192.61261261261262</v>
      </c>
      <c r="C53" s="72">
        <f>IF(E6+E7=0,0,2*(E6*E6+E6*E7+E7*E7)/(3*(E6+E7)))</f>
        <v>0</v>
      </c>
      <c r="D53" s="72">
        <f>IF(F6+F7=0,0,2*(F6*F6+F6*F7+F7*F7)/(3*(F6+F7)))</f>
        <v>0</v>
      </c>
      <c r="E53" s="72">
        <f>IF(G6+G7=0,0,2*(G6*G6+G6*G7+G7*G7)/(3*(G6+G7)))</f>
        <v>0</v>
      </c>
      <c r="F53" s="72">
        <f>IF(H6+H7=0,0,2*(H6*H6+H6*H7+H7*H7)/(3*(H6+H7)))</f>
        <v>0</v>
      </c>
      <c r="G53" s="72"/>
      <c r="H53" s="73">
        <f>2*SUM(B54:F54)/H51</f>
        <v>192.61261261261262</v>
      </c>
      <c r="K53" t="s">
        <v>83</v>
      </c>
      <c r="L53">
        <f>1+(M10/100-0.25)/L52+(1+(M10/100-L50)/L52)*E29*E28/(R13*R9)</f>
        <v>1.1203147698498275</v>
      </c>
    </row>
    <row r="54" spans="1:12" ht="12.75">
      <c r="A54" s="71" t="s">
        <v>56</v>
      </c>
      <c r="B54" s="72">
        <f>B51*B53</f>
        <v>3492.0666666666666</v>
      </c>
      <c r="C54" s="72">
        <f>C51*C53</f>
        <v>0</v>
      </c>
      <c r="D54" s="72">
        <f>D51*D53</f>
        <v>0</v>
      </c>
      <c r="E54" s="72">
        <f>E51*E53</f>
        <v>0</v>
      </c>
      <c r="F54" s="72">
        <f>F51*F53</f>
        <v>0</v>
      </c>
      <c r="G54" s="72"/>
      <c r="H54" s="73"/>
      <c r="K54" t="s">
        <v>82</v>
      </c>
      <c r="L54">
        <f>(M16/100-L50)*E29*E28/(L51*R21*R9)</f>
        <v>0.14932313934404917</v>
      </c>
    </row>
    <row r="55" spans="1:12" ht="12.75">
      <c r="A55" s="71" t="s">
        <v>59</v>
      </c>
      <c r="B55" s="72">
        <f>IF(D6+D7=0,0,D9*(D6+2*D7)/(3*(D6+D7)))</f>
        <v>22.07207207207207</v>
      </c>
      <c r="C55" s="72">
        <f>IF(E6+E7=0,0,E9*(E6+2*E7)/(3*(E6+E7)))</f>
        <v>0</v>
      </c>
      <c r="D55" s="72">
        <f>IF(F6+F7=0,0,F9*(F6+2*F7)/(3*(F6+F7)))</f>
        <v>0</v>
      </c>
      <c r="E55" s="72">
        <f>IF(G6+G7=0,0,G9*(G6+2*G7)/(3*(G6+G7)))</f>
        <v>0</v>
      </c>
      <c r="F55" s="72">
        <f>IF(H6+H7=0,0,H9*(H6+2*H7)/(3*(H6+H7)))</f>
        <v>0</v>
      </c>
      <c r="G55" s="72"/>
      <c r="H55" s="73">
        <f>2*SUM(B56:F56)/H51</f>
        <v>22.07207207207207</v>
      </c>
      <c r="K55" t="s">
        <v>86</v>
      </c>
      <c r="L55" s="81">
        <f>M17</f>
        <v>0.5</v>
      </c>
    </row>
    <row r="56" spans="1:12" ht="12.75">
      <c r="A56" s="71"/>
      <c r="B56" s="72">
        <f>B55*B51</f>
        <v>400.16666666666663</v>
      </c>
      <c r="C56" s="72">
        <f>(C55+D9)*C51</f>
        <v>0</v>
      </c>
      <c r="D56" s="72">
        <f>(D55+D9+E9)*D51</f>
        <v>0</v>
      </c>
      <c r="E56" s="72">
        <f>(E55+D9+E9+F9)*E51</f>
        <v>0</v>
      </c>
      <c r="F56" s="72">
        <f>(F55+D9+E9+F9+G9)*F51</f>
        <v>0</v>
      </c>
      <c r="G56" s="72"/>
      <c r="H56" s="73"/>
      <c r="K56" t="s">
        <v>85</v>
      </c>
      <c r="L56">
        <f>L53*M14/100*L55/(L51*R21)-E11/(L51*R21)+E12+L54*(E13-E12)</f>
        <v>-1.3182323381300804</v>
      </c>
    </row>
    <row r="57" spans="1:8" ht="12.75">
      <c r="A57" s="75" t="s">
        <v>13</v>
      </c>
      <c r="B57" s="76"/>
      <c r="C57" s="76"/>
      <c r="D57" s="76"/>
      <c r="E57" s="76"/>
      <c r="F57" s="76"/>
      <c r="G57" s="76"/>
      <c r="H57" s="77">
        <f>2*SUM(D8:H8)</f>
        <v>1960</v>
      </c>
    </row>
    <row r="58" ht="12.75">
      <c r="A58" s="78"/>
    </row>
    <row r="60" spans="1:8" ht="12.75">
      <c r="A60" s="68" t="s">
        <v>63</v>
      </c>
      <c r="B60" s="69"/>
      <c r="C60" s="69"/>
      <c r="D60" s="69"/>
      <c r="E60" s="69"/>
      <c r="F60" s="69"/>
      <c r="G60" s="69"/>
      <c r="H60" s="70"/>
    </row>
    <row r="61" spans="1:8" ht="12.75">
      <c r="A61" s="71" t="s">
        <v>51</v>
      </c>
      <c r="B61" s="72">
        <f>D19*(D18+D17)/20000</f>
        <v>2.49375</v>
      </c>
      <c r="C61" s="72">
        <f>E19*(E18+E17)/20000</f>
        <v>0</v>
      </c>
      <c r="D61" s="72">
        <f>F19*(F18+F17)/20000</f>
        <v>0</v>
      </c>
      <c r="E61" s="72">
        <f>G19*(G18+G17)/20000</f>
        <v>0</v>
      </c>
      <c r="F61" s="72">
        <f>H19*(H18+H17)/20000</f>
        <v>0</v>
      </c>
      <c r="G61" s="72"/>
      <c r="H61" s="73">
        <f>2*SUM(B61:F61)</f>
        <v>4.9875</v>
      </c>
    </row>
    <row r="62" spans="1:8" ht="12.75">
      <c r="A62" s="71" t="s">
        <v>64</v>
      </c>
      <c r="B62" s="72"/>
      <c r="C62" s="72"/>
      <c r="D62" s="72"/>
      <c r="E62" s="72"/>
      <c r="F62" s="72"/>
      <c r="G62" s="72"/>
      <c r="H62" s="73">
        <f>H61*IF(E21="C",1,IF(E21="V",0.71,IF(E21="T",1,"erreur")))</f>
        <v>4.9875</v>
      </c>
    </row>
    <row r="63" spans="1:8" ht="12.75">
      <c r="A63" s="71" t="s">
        <v>53</v>
      </c>
      <c r="B63" s="72">
        <f>IF(D17+D18=0,0,2*(D17*D17+D17*D18+D18*D18)/(3*(D17+D18)))</f>
        <v>88.66666666666667</v>
      </c>
      <c r="C63" s="72">
        <f>IF(E17+E18=0,0,2*(E17*E17+E17*E18+E18*E18)/(3*(E17+E18)))</f>
        <v>0</v>
      </c>
      <c r="D63" s="72">
        <f>IF(F17+F18=0,0,2*(F17*F17+F17*F18+F18*F18)/(3*(F17+F18)))</f>
        <v>0</v>
      </c>
      <c r="E63" s="72">
        <f>IF(G17+G18=0,0,2*(G17*G17+G17*G18+G18*G18)/(3*(G17+G18)))</f>
        <v>0</v>
      </c>
      <c r="F63" s="72">
        <f>IF(H17+H18=0,0,2*(H17*H17+H17*H18+H18*H18)/(3*(H17+H18)))</f>
        <v>0</v>
      </c>
      <c r="G63" s="72"/>
      <c r="H63" s="73">
        <f>2*SUM(B64:F64)/H61</f>
        <v>88.66666666666667</v>
      </c>
    </row>
    <row r="64" spans="1:8" ht="12.75">
      <c r="A64" s="71" t="s">
        <v>56</v>
      </c>
      <c r="B64" s="72">
        <f>B61*B63</f>
        <v>221.1125</v>
      </c>
      <c r="C64" s="72">
        <f>C61*C63</f>
        <v>0</v>
      </c>
      <c r="D64" s="72">
        <f>D61*D63</f>
        <v>0</v>
      </c>
      <c r="E64" s="72">
        <f>E61*E63</f>
        <v>0</v>
      </c>
      <c r="F64" s="72">
        <f>F61*F63</f>
        <v>0</v>
      </c>
      <c r="G64" s="72"/>
      <c r="H64" s="73"/>
    </row>
    <row r="65" spans="1:8" ht="12.75">
      <c r="A65" s="71" t="s">
        <v>59</v>
      </c>
      <c r="B65" s="72">
        <f>IF(D17+D18=0,0,D20*(D17+2*D18)/(3*(D17+D18)))</f>
        <v>14</v>
      </c>
      <c r="C65" s="72">
        <f>IF(E17+E18=0,0,E20*(E17+2*E18)/(3*(E17+E18)))</f>
        <v>0</v>
      </c>
      <c r="D65" s="72">
        <f>IF(F17+F18=0,0,F20*(F17+2*F18)/(3*(F17+F18)))</f>
        <v>0</v>
      </c>
      <c r="E65" s="72">
        <f>IF(G17+G18=0,0,G20*(G17+2*G18)/(3*(G17+G18)))</f>
        <v>0</v>
      </c>
      <c r="F65" s="72">
        <f>IF(H17+H18=0,0,H20*(H17+2*H18)/(3*(H17+H18)))</f>
        <v>0</v>
      </c>
      <c r="G65" s="72"/>
      <c r="H65" s="73">
        <f>2*SUM(B66:F66)/H61</f>
        <v>14.000000000000002</v>
      </c>
    </row>
    <row r="66" spans="1:8" ht="12.75">
      <c r="A66" s="71"/>
      <c r="B66" s="72">
        <f>B65*B61</f>
        <v>34.9125</v>
      </c>
      <c r="C66" s="72">
        <f>(C65+D20)*C61</f>
        <v>0</v>
      </c>
      <c r="D66" s="72">
        <f>(D65+D20+E20)*D61</f>
        <v>0</v>
      </c>
      <c r="E66" s="72">
        <f>(E65+D20+E20+F20)*E61</f>
        <v>0</v>
      </c>
      <c r="F66" s="72">
        <f>(F65+D20+E20+F20+G20)*F61</f>
        <v>0</v>
      </c>
      <c r="G66" s="72"/>
      <c r="H66" s="73"/>
    </row>
    <row r="67" spans="1:8" ht="12.75">
      <c r="A67" s="75" t="s">
        <v>13</v>
      </c>
      <c r="B67" s="76"/>
      <c r="C67" s="76"/>
      <c r="D67" s="76"/>
      <c r="E67" s="76"/>
      <c r="F67" s="76"/>
      <c r="G67" s="76"/>
      <c r="H67" s="77">
        <f>2*SUM(D19:H19)</f>
        <v>570</v>
      </c>
    </row>
    <row r="68" spans="7:8" ht="12.75">
      <c r="G68" t="s">
        <v>65</v>
      </c>
      <c r="H68">
        <f>E24-E25</f>
        <v>695</v>
      </c>
    </row>
    <row r="69" spans="7:18" ht="12.75">
      <c r="G69" t="s">
        <v>66</v>
      </c>
      <c r="H69">
        <f>(0.399*E25*E25+(E25+0.33*H68)*0.5*H68)/(2*(0.57*E25+0.5*H68)*E24)</f>
        <v>0.21940667801175212</v>
      </c>
      <c r="R69">
        <f>R22/R11</f>
        <v>3.5612488306828807</v>
      </c>
    </row>
    <row r="70" spans="1:15" ht="12.75">
      <c r="A70" t="s">
        <v>67</v>
      </c>
      <c r="B70">
        <f>E23*360/(PI()*PI()*R10)</f>
        <v>5.130687814380781</v>
      </c>
      <c r="G70" t="s">
        <v>68</v>
      </c>
      <c r="H70">
        <f>(0.7*E25*E26+E26*(E24-E25)*1.3/2)/10000</f>
        <v>4.2015</v>
      </c>
      <c r="O70" t="s">
        <v>52</v>
      </c>
    </row>
    <row r="71" spans="1:16" ht="12.75">
      <c r="A71" t="s">
        <v>69</v>
      </c>
      <c r="B71">
        <f>E71</f>
        <v>0.4797198482925841</v>
      </c>
      <c r="D71">
        <f>R13*B70</f>
        <v>0.47623427110553535</v>
      </c>
      <c r="E71">
        <f>P82*E23</f>
        <v>0.4797198482925841</v>
      </c>
      <c r="L71">
        <f>(M9-M2)/R11</f>
        <v>0.5154274261361971</v>
      </c>
      <c r="O71" t="s">
        <v>54</v>
      </c>
      <c r="P71">
        <f>2*R22/R8</f>
        <v>0.6791499420212291</v>
      </c>
    </row>
    <row r="72" spans="1:18" ht="12.75">
      <c r="A72" t="s">
        <v>70</v>
      </c>
      <c r="B72">
        <f>H51*R13+H62*R21*(1-B71)+E29*E28</f>
        <v>3.7880695943628067</v>
      </c>
      <c r="O72" t="s">
        <v>57</v>
      </c>
      <c r="P72">
        <f>2*M71/R8</f>
        <v>0</v>
      </c>
      <c r="Q72" t="s">
        <v>55</v>
      </c>
      <c r="R72">
        <f>R14/R9</f>
        <v>0.1320842161016949</v>
      </c>
    </row>
    <row r="73" spans="1:18" ht="12.75">
      <c r="A73" t="s">
        <v>71</v>
      </c>
      <c r="B73">
        <f>0.25+R22*R21*H62/(R11*B72)</f>
        <v>0.6446195047216443</v>
      </c>
      <c r="E73">
        <f>B73</f>
        <v>0.6446195047216443</v>
      </c>
      <c r="P73">
        <f>SQRT(PI()*PI()/16+P71*P71+P72*P72)</f>
        <v>1.0383134973674972</v>
      </c>
      <c r="Q73" t="s">
        <v>58</v>
      </c>
      <c r="R73">
        <f>E28/R9</f>
        <v>0.09004237288135593</v>
      </c>
    </row>
    <row r="74" spans="1:18" ht="12.75">
      <c r="A74" t="s">
        <v>72</v>
      </c>
      <c r="B74">
        <f>B71*R22*R21*H62/(R11*B72)</f>
        <v>0.18930680893836185</v>
      </c>
      <c r="E74">
        <f>B73-B74</f>
        <v>0.4553126957832825</v>
      </c>
      <c r="Q74" t="s">
        <v>60</v>
      </c>
      <c r="R74">
        <f>R22/R11</f>
        <v>3.5612488306828807</v>
      </c>
    </row>
    <row r="75" spans="1:18" ht="12.75">
      <c r="A75" t="s">
        <v>73</v>
      </c>
      <c r="B75">
        <f>E15/E14*R13*R9/B72</f>
        <v>0</v>
      </c>
      <c r="E75">
        <f>E74-B75</f>
        <v>0.4553126957832825</v>
      </c>
      <c r="P75">
        <f>(1+P71/P73)*(PI()/4)/(PI()*PI()/16+P72*P72)</f>
        <v>2.106052144377182</v>
      </c>
      <c r="Q75" t="s">
        <v>61</v>
      </c>
      <c r="R75" s="74">
        <f>R10</f>
        <v>10.80614406779661</v>
      </c>
    </row>
    <row r="76" spans="1:18" ht="12.75">
      <c r="A76" t="s">
        <v>74</v>
      </c>
      <c r="B76">
        <f>E25+R12+0.25*R11</f>
        <v>425.2252252252252</v>
      </c>
      <c r="P76">
        <f>(PI()/4)*(P71/P73)/(P71*P71+P72*P72)</f>
        <v>1.113770507979365</v>
      </c>
      <c r="Q76" t="s">
        <v>62</v>
      </c>
      <c r="R76" s="74">
        <f>R16</f>
        <v>6.514285714285714</v>
      </c>
    </row>
    <row r="77" spans="1:16" ht="12.75">
      <c r="A77" t="s">
        <v>75</v>
      </c>
      <c r="B77">
        <f>E30*E24</f>
        <v>230.37701191233973</v>
      </c>
      <c r="P77">
        <f>(2/PI())/(1+SQRT(1+R10*R10/4))</f>
        <v>0.09801942449202812</v>
      </c>
    </row>
    <row r="78" spans="1:5" ht="12.75">
      <c r="A78" t="s">
        <v>76</v>
      </c>
      <c r="B78">
        <f>((B76-B77)/R11)*E29*E28/B72</f>
        <v>0.054478347289742136</v>
      </c>
      <c r="C78">
        <f>1.19*E28*E29/(R9*R13)</f>
        <v>0.06926280698635394</v>
      </c>
      <c r="E78">
        <f>E75-B78</f>
        <v>0.4008343484935403</v>
      </c>
    </row>
    <row r="79" spans="1:2" ht="12.75">
      <c r="A79" t="s">
        <v>77</v>
      </c>
      <c r="B79">
        <f>B73-B74-B75-B78</f>
        <v>0.4008343484935403</v>
      </c>
    </row>
    <row r="82" ht="12.75">
      <c r="P82">
        <f>P77*(P75+P76)</f>
        <v>0.31560516335038424</v>
      </c>
    </row>
    <row r="83" ht="12.75">
      <c r="P83">
        <f>4/(R10+2)</f>
        <v>0.31235007031185374</v>
      </c>
    </row>
  </sheetData>
  <mergeCells count="9">
    <mergeCell ref="B4:I4"/>
    <mergeCell ref="K5:T5"/>
    <mergeCell ref="C21:D21"/>
    <mergeCell ref="C25:D25"/>
    <mergeCell ref="C26:D26"/>
    <mergeCell ref="C27:D27"/>
    <mergeCell ref="C28:D28"/>
    <mergeCell ref="C29:D29"/>
    <mergeCell ref="C30:D30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80"/>
  <sheetViews>
    <sheetView tabSelected="1" workbookViewId="0" topLeftCell="B1">
      <selection activeCell="F39" sqref="F39"/>
    </sheetView>
  </sheetViews>
  <sheetFormatPr defaultColWidth="11.421875" defaultRowHeight="12.75"/>
  <cols>
    <col min="1" max="1" width="9.28125" style="0" customWidth="1"/>
    <col min="2" max="2" width="9.421875" style="0" customWidth="1"/>
    <col min="3" max="3" width="10.7109375" style="0" customWidth="1"/>
    <col min="4" max="4" width="7.421875" style="0" customWidth="1"/>
    <col min="5" max="5" width="8.00390625" style="0" customWidth="1"/>
    <col min="6" max="6" width="7.8515625" style="0" customWidth="1"/>
    <col min="7" max="7" width="7.7109375" style="0" customWidth="1"/>
    <col min="8" max="8" width="8.140625" style="0" customWidth="1"/>
    <col min="9" max="9" width="4.140625" style="0" customWidth="1"/>
    <col min="10" max="10" width="3.421875" style="0" customWidth="1"/>
    <col min="11" max="11" width="4.8515625" style="0" customWidth="1"/>
    <col min="12" max="12" width="31.7109375" style="0" customWidth="1"/>
    <col min="13" max="13" width="5.421875" style="0" customWidth="1"/>
    <col min="14" max="14" width="3.8515625" style="0" customWidth="1"/>
    <col min="15" max="15" width="6.140625" style="0" customWidth="1"/>
    <col min="16" max="16" width="8.28125" style="0" customWidth="1"/>
    <col min="17" max="17" width="20.7109375" style="0" customWidth="1"/>
    <col min="18" max="18" width="7.421875" style="0" customWidth="1"/>
    <col min="19" max="19" width="5.28125" style="0" customWidth="1"/>
    <col min="20" max="20" width="3.421875" style="0" customWidth="1"/>
  </cols>
  <sheetData>
    <row r="2" spans="12:14" ht="12.75">
      <c r="L2" s="1" t="s">
        <v>78</v>
      </c>
      <c r="M2" s="79">
        <v>143</v>
      </c>
      <c r="N2" t="s">
        <v>8</v>
      </c>
    </row>
    <row r="3" spans="13:14" ht="12.75">
      <c r="M3" s="80">
        <f>100*(M2-R12)/R11</f>
        <v>36.61116552399608</v>
      </c>
      <c r="N3" t="s">
        <v>20</v>
      </c>
    </row>
    <row r="4" ht="13.5" thickBot="1"/>
    <row r="5" spans="2:20" ht="17.25" thickBot="1" thickTop="1">
      <c r="B5" s="2" t="s">
        <v>0</v>
      </c>
      <c r="C5" s="3"/>
      <c r="D5" s="4" t="s">
        <v>1</v>
      </c>
      <c r="E5" s="5" t="s">
        <v>2</v>
      </c>
      <c r="F5" s="6" t="s">
        <v>3</v>
      </c>
      <c r="G5" s="5" t="s">
        <v>4</v>
      </c>
      <c r="H5" s="5" t="s">
        <v>5</v>
      </c>
      <c r="I5" s="7"/>
      <c r="K5" s="98" t="s">
        <v>6</v>
      </c>
      <c r="L5" s="99"/>
      <c r="M5" s="99"/>
      <c r="N5" s="99"/>
      <c r="O5" s="99"/>
      <c r="P5" s="99"/>
      <c r="Q5" s="99"/>
      <c r="R5" s="99"/>
      <c r="S5" s="99"/>
      <c r="T5" s="100"/>
    </row>
    <row r="6" spans="2:20" ht="14.25" thickBot="1" thickTop="1">
      <c r="B6" s="8"/>
      <c r="C6" s="9" t="s">
        <v>7</v>
      </c>
      <c r="D6" s="10">
        <v>375</v>
      </c>
      <c r="E6" s="11">
        <f>IF(E7,D7,0)</f>
        <v>0</v>
      </c>
      <c r="F6" s="11">
        <f>IF(F7,E7,0)</f>
        <v>0</v>
      </c>
      <c r="G6" s="11">
        <f>IF(G7,F7,0)</f>
        <v>0</v>
      </c>
      <c r="H6" s="11">
        <f>IF(H7,G7,0)</f>
        <v>0</v>
      </c>
      <c r="I6" s="12" t="s">
        <v>8</v>
      </c>
      <c r="K6" s="13"/>
      <c r="L6" s="9"/>
      <c r="M6" s="9"/>
      <c r="N6" s="9"/>
      <c r="O6" s="9"/>
      <c r="P6" s="9"/>
      <c r="Q6" s="9"/>
      <c r="R6" s="9"/>
      <c r="S6" s="9"/>
      <c r="T6" s="12"/>
    </row>
    <row r="7" spans="2:20" ht="14.25" thickBot="1" thickTop="1">
      <c r="B7" s="8"/>
      <c r="C7" s="9" t="s">
        <v>9</v>
      </c>
      <c r="D7" s="14">
        <v>165</v>
      </c>
      <c r="E7" s="14"/>
      <c r="F7" s="15"/>
      <c r="G7" s="14"/>
      <c r="H7" s="14"/>
      <c r="I7" s="12" t="s">
        <v>8</v>
      </c>
      <c r="K7" s="13"/>
      <c r="L7" s="16"/>
      <c r="M7" s="9"/>
      <c r="N7" s="9"/>
      <c r="O7" s="9"/>
      <c r="P7" s="17" t="s">
        <v>10</v>
      </c>
      <c r="Q7" s="18"/>
      <c r="R7" s="9"/>
      <c r="S7" s="9"/>
      <c r="T7" s="12"/>
    </row>
    <row r="8" spans="2:20" ht="16.5" thickBot="1" thickTop="1">
      <c r="B8" s="8"/>
      <c r="C8" s="9" t="s">
        <v>11</v>
      </c>
      <c r="D8" s="14">
        <v>2070</v>
      </c>
      <c r="E8" s="14"/>
      <c r="F8" s="15"/>
      <c r="G8" s="14"/>
      <c r="H8" s="14"/>
      <c r="I8" s="12" t="s">
        <v>8</v>
      </c>
      <c r="K8" s="13"/>
      <c r="L8" s="19" t="s">
        <v>12</v>
      </c>
      <c r="M8" s="16"/>
      <c r="N8" s="16"/>
      <c r="O8" s="9"/>
      <c r="P8" s="20" t="s">
        <v>0</v>
      </c>
      <c r="Q8" s="21" t="s">
        <v>13</v>
      </c>
      <c r="R8" s="22">
        <f>E10</f>
        <v>4280</v>
      </c>
      <c r="S8" s="7" t="s">
        <v>8</v>
      </c>
      <c r="T8" s="12"/>
    </row>
    <row r="9" spans="2:20" ht="15.75" thickTop="1">
      <c r="B9" s="8"/>
      <c r="C9" s="23" t="s">
        <v>14</v>
      </c>
      <c r="D9" s="58">
        <v>90</v>
      </c>
      <c r="E9" s="14"/>
      <c r="F9" s="15"/>
      <c r="G9" s="14"/>
      <c r="H9" s="14"/>
      <c r="I9" s="12" t="s">
        <v>8</v>
      </c>
      <c r="K9" s="13"/>
      <c r="L9" s="24" t="s">
        <v>15</v>
      </c>
      <c r="M9" s="25">
        <f>B79*R11+R12</f>
        <v>139.5048940886807</v>
      </c>
      <c r="N9" s="26" t="s">
        <v>8</v>
      </c>
      <c r="O9" s="9"/>
      <c r="P9" s="8"/>
      <c r="Q9" s="27" t="s">
        <v>16</v>
      </c>
      <c r="R9" s="28">
        <f>H52</f>
        <v>111.778125</v>
      </c>
      <c r="S9" s="29" t="s">
        <v>17</v>
      </c>
      <c r="T9" s="12"/>
    </row>
    <row r="10" spans="2:20" ht="13.5" thickBot="1">
      <c r="B10" s="8"/>
      <c r="C10" s="30" t="s">
        <v>18</v>
      </c>
      <c r="D10" s="31"/>
      <c r="E10" s="10">
        <v>4280</v>
      </c>
      <c r="F10" s="31" t="s">
        <v>8</v>
      </c>
      <c r="G10" s="31"/>
      <c r="H10" s="31"/>
      <c r="I10" s="12"/>
      <c r="K10" s="13"/>
      <c r="L10" s="32" t="s">
        <v>19</v>
      </c>
      <c r="M10" s="28">
        <f>B79*100</f>
        <v>35.378806926469196</v>
      </c>
      <c r="N10" s="29" t="s">
        <v>20</v>
      </c>
      <c r="O10" s="9"/>
      <c r="P10" s="32"/>
      <c r="Q10" s="27" t="s">
        <v>21</v>
      </c>
      <c r="R10" s="28">
        <f>R8*R8/(10000*R9)</f>
        <v>16.38817970868629</v>
      </c>
      <c r="S10" s="29"/>
      <c r="T10" s="12"/>
    </row>
    <row r="11" spans="2:20" ht="13.5" thickTop="1">
      <c r="B11" s="33" t="s">
        <v>22</v>
      </c>
      <c r="C11" s="27" t="s">
        <v>23</v>
      </c>
      <c r="D11" s="9"/>
      <c r="E11" s="14">
        <v>-0.05</v>
      </c>
      <c r="F11" s="27"/>
      <c r="G11" s="9"/>
      <c r="H11" s="9"/>
      <c r="I11" s="12"/>
      <c r="K11" s="13"/>
      <c r="L11" s="34"/>
      <c r="M11" s="35"/>
      <c r="N11" s="34"/>
      <c r="O11" s="9"/>
      <c r="P11" s="32"/>
      <c r="Q11" s="27" t="s">
        <v>24</v>
      </c>
      <c r="R11" s="28">
        <f>H53</f>
        <v>283.6111111111111</v>
      </c>
      <c r="S11" s="29" t="s">
        <v>8</v>
      </c>
      <c r="T11" s="12"/>
    </row>
    <row r="12" spans="2:20" ht="12.75">
      <c r="B12" s="36" t="s">
        <v>89</v>
      </c>
      <c r="C12" s="27" t="s">
        <v>26</v>
      </c>
      <c r="D12" s="9"/>
      <c r="E12" s="14">
        <v>-2.2</v>
      </c>
      <c r="F12" s="27" t="s">
        <v>27</v>
      </c>
      <c r="G12" s="9"/>
      <c r="H12" s="9"/>
      <c r="I12" s="12"/>
      <c r="K12" s="13"/>
      <c r="L12" s="16"/>
      <c r="M12" s="37"/>
      <c r="N12" s="16"/>
      <c r="O12" s="9"/>
      <c r="P12" s="32"/>
      <c r="Q12" s="27" t="s">
        <v>28</v>
      </c>
      <c r="R12" s="28">
        <f>H55</f>
        <v>39.16666666666667</v>
      </c>
      <c r="S12" s="29" t="s">
        <v>8</v>
      </c>
      <c r="T12" s="12"/>
    </row>
    <row r="13" spans="2:20" ht="13.5" thickBot="1">
      <c r="B13" s="36"/>
      <c r="C13" s="27" t="s">
        <v>79</v>
      </c>
      <c r="D13" s="9"/>
      <c r="E13" s="14">
        <v>1</v>
      </c>
      <c r="F13" s="27" t="s">
        <v>27</v>
      </c>
      <c r="G13" s="9"/>
      <c r="H13" s="9"/>
      <c r="I13" s="12"/>
      <c r="K13" s="13"/>
      <c r="L13" s="9"/>
      <c r="M13" s="9"/>
      <c r="N13" s="9"/>
      <c r="O13" s="9"/>
      <c r="P13" s="33"/>
      <c r="Q13" s="27" t="s">
        <v>30</v>
      </c>
      <c r="R13" s="39">
        <f>E14*R10/(2+R10)</f>
        <v>0.09803579236850314</v>
      </c>
      <c r="S13" s="29"/>
      <c r="T13" s="12"/>
    </row>
    <row r="14" spans="2:20" ht="14.25" thickBot="1" thickTop="1">
      <c r="B14" s="8"/>
      <c r="C14" s="27" t="s">
        <v>29</v>
      </c>
      <c r="D14" s="9"/>
      <c r="E14" s="38">
        <v>0.11</v>
      </c>
      <c r="F14" s="27"/>
      <c r="G14" s="9"/>
      <c r="H14" s="9"/>
      <c r="I14" s="12"/>
      <c r="K14" s="13"/>
      <c r="L14" s="44" t="s">
        <v>32</v>
      </c>
      <c r="M14" s="45">
        <v>0</v>
      </c>
      <c r="N14" s="46" t="s">
        <v>20</v>
      </c>
      <c r="O14" s="9"/>
      <c r="P14" s="47" t="s">
        <v>33</v>
      </c>
      <c r="Q14" s="34" t="s">
        <v>34</v>
      </c>
      <c r="R14" s="22">
        <f>H61</f>
        <v>11.875</v>
      </c>
      <c r="S14" s="48" t="s">
        <v>17</v>
      </c>
      <c r="T14" s="12"/>
    </row>
    <row r="15" spans="2:20" ht="14.25" thickBot="1" thickTop="1">
      <c r="B15" s="40"/>
      <c r="C15" s="41" t="s">
        <v>31</v>
      </c>
      <c r="D15" s="42"/>
      <c r="E15" s="43">
        <v>0</v>
      </c>
      <c r="F15" s="41"/>
      <c r="G15" s="42"/>
      <c r="H15" s="42"/>
      <c r="I15" s="12"/>
      <c r="K15" s="13"/>
      <c r="L15" s="50" t="s">
        <v>35</v>
      </c>
      <c r="M15" s="51">
        <f>M16*R11/100+R12</f>
        <v>139.50489408868066</v>
      </c>
      <c r="N15" s="52" t="s">
        <v>8</v>
      </c>
      <c r="O15" s="9"/>
      <c r="P15" s="33"/>
      <c r="Q15" s="16" t="s">
        <v>13</v>
      </c>
      <c r="R15" s="53">
        <f>H67</f>
        <v>950</v>
      </c>
      <c r="S15" s="29" t="s">
        <v>8</v>
      </c>
      <c r="T15" s="12"/>
    </row>
    <row r="16" spans="2:20" ht="13.5" thickTop="1">
      <c r="B16" s="2" t="s">
        <v>33</v>
      </c>
      <c r="C16" s="3"/>
      <c r="D16" s="4" t="s">
        <v>1</v>
      </c>
      <c r="E16" s="5" t="s">
        <v>2</v>
      </c>
      <c r="F16" s="6" t="s">
        <v>3</v>
      </c>
      <c r="G16" s="5" t="s">
        <v>4</v>
      </c>
      <c r="H16" s="5" t="s">
        <v>5</v>
      </c>
      <c r="I16" s="49"/>
      <c r="K16" s="13"/>
      <c r="L16" s="13" t="s">
        <v>36</v>
      </c>
      <c r="M16" s="28">
        <f>M10-M14</f>
        <v>35.378806926469196</v>
      </c>
      <c r="N16" s="12" t="s">
        <v>20</v>
      </c>
      <c r="O16" s="9"/>
      <c r="P16" s="33"/>
      <c r="Q16" s="16" t="s">
        <v>21</v>
      </c>
      <c r="R16" s="28">
        <f>R15*R15/(10000*R14)</f>
        <v>7.6</v>
      </c>
      <c r="S16" s="29"/>
      <c r="T16" s="12"/>
    </row>
    <row r="17" spans="2:20" ht="12.75">
      <c r="B17" s="8"/>
      <c r="C17" s="9" t="s">
        <v>7</v>
      </c>
      <c r="D17" s="10">
        <v>140</v>
      </c>
      <c r="E17" s="11">
        <f>IF(E18,D18,0)</f>
        <v>0</v>
      </c>
      <c r="F17" s="11">
        <f>IF(F18,E18,0)</f>
        <v>0</v>
      </c>
      <c r="G17" s="54">
        <v>0</v>
      </c>
      <c r="H17" s="11">
        <f>IF(H18,G18,0)</f>
        <v>0</v>
      </c>
      <c r="I17" s="12" t="s">
        <v>8</v>
      </c>
      <c r="K17" s="13"/>
      <c r="L17" s="84" t="s">
        <v>87</v>
      </c>
      <c r="M17" s="85">
        <v>0.3</v>
      </c>
      <c r="N17" s="86"/>
      <c r="O17" s="9"/>
      <c r="P17" s="33"/>
      <c r="Q17" s="16" t="s">
        <v>24</v>
      </c>
      <c r="R17" s="28">
        <f>H63</f>
        <v>125.6</v>
      </c>
      <c r="S17" s="29" t="s">
        <v>8</v>
      </c>
      <c r="T17" s="12"/>
    </row>
    <row r="18" spans="2:20" ht="13.5" thickBot="1">
      <c r="B18" s="8"/>
      <c r="C18" s="9" t="s">
        <v>9</v>
      </c>
      <c r="D18" s="14">
        <v>110</v>
      </c>
      <c r="E18" s="14">
        <v>0</v>
      </c>
      <c r="F18" s="15">
        <v>0</v>
      </c>
      <c r="G18" s="14"/>
      <c r="H18" s="14"/>
      <c r="I18" s="12" t="s">
        <v>8</v>
      </c>
      <c r="K18" s="13"/>
      <c r="L18" s="56" t="s">
        <v>88</v>
      </c>
      <c r="M18" s="82">
        <f>L57</f>
        <v>0.18631661895859664</v>
      </c>
      <c r="N18" s="83" t="s">
        <v>27</v>
      </c>
      <c r="O18" s="9"/>
      <c r="P18" s="33"/>
      <c r="Q18" s="16" t="s">
        <v>28</v>
      </c>
      <c r="R18" s="28">
        <f>H65</f>
        <v>14.4</v>
      </c>
      <c r="S18" s="29" t="s">
        <v>8</v>
      </c>
      <c r="T18" s="12"/>
    </row>
    <row r="19" spans="2:20" ht="13.5" thickTop="1">
      <c r="B19" s="8"/>
      <c r="C19" s="9" t="s">
        <v>11</v>
      </c>
      <c r="D19" s="14">
        <v>475</v>
      </c>
      <c r="E19" s="14">
        <v>0</v>
      </c>
      <c r="F19" s="15">
        <v>0</v>
      </c>
      <c r="G19" s="14"/>
      <c r="H19" s="14"/>
      <c r="I19" s="12" t="s">
        <v>8</v>
      </c>
      <c r="K19" s="13"/>
      <c r="L19" s="16"/>
      <c r="M19" s="16"/>
      <c r="N19" s="16"/>
      <c r="O19" s="9"/>
      <c r="P19" s="33"/>
      <c r="Q19" s="16" t="s">
        <v>37</v>
      </c>
      <c r="R19" s="55">
        <f>H62*R22/(R9*R11)</f>
        <v>0.391717843210333</v>
      </c>
      <c r="S19" s="29"/>
      <c r="T19" s="12"/>
    </row>
    <row r="20" spans="2:20" ht="12.75">
      <c r="B20" s="8"/>
      <c r="C20" s="23" t="s">
        <v>14</v>
      </c>
      <c r="D20" s="14">
        <v>30</v>
      </c>
      <c r="E20" s="58">
        <v>0</v>
      </c>
      <c r="F20" s="59">
        <v>0</v>
      </c>
      <c r="G20" s="58"/>
      <c r="H20" s="58"/>
      <c r="I20" s="12" t="s">
        <v>8</v>
      </c>
      <c r="K20" s="13"/>
      <c r="L20" s="16"/>
      <c r="M20" s="16"/>
      <c r="N20" s="16"/>
      <c r="O20" s="9"/>
      <c r="P20" s="33"/>
      <c r="Q20" s="16" t="s">
        <v>81</v>
      </c>
      <c r="R20" s="55">
        <f>L52</f>
        <v>0.380691684715384</v>
      </c>
      <c r="S20" s="29"/>
      <c r="T20" s="12"/>
    </row>
    <row r="21" spans="2:20" ht="13.5" thickBot="1">
      <c r="B21" s="8"/>
      <c r="C21" s="101" t="s">
        <v>38</v>
      </c>
      <c r="D21" s="102"/>
      <c r="E21" s="87" t="s">
        <v>39</v>
      </c>
      <c r="F21" s="60"/>
      <c r="G21" s="31"/>
      <c r="H21" s="31"/>
      <c r="I21" s="12"/>
      <c r="K21" s="13"/>
      <c r="L21" s="16"/>
      <c r="M21" s="16"/>
      <c r="N21" s="16"/>
      <c r="O21" s="9"/>
      <c r="P21" s="40"/>
      <c r="Q21" s="16" t="s">
        <v>40</v>
      </c>
      <c r="R21" s="39">
        <f>E22*R16/(R16+2)</f>
        <v>0.08708333333333333</v>
      </c>
      <c r="S21" s="29"/>
      <c r="T21" s="12"/>
    </row>
    <row r="22" spans="2:20" ht="13.5" thickTop="1">
      <c r="B22" s="33"/>
      <c r="C22" s="16" t="s">
        <v>29</v>
      </c>
      <c r="D22" s="9"/>
      <c r="E22" s="61">
        <v>0.11</v>
      </c>
      <c r="F22" s="16"/>
      <c r="G22" s="9"/>
      <c r="H22" s="9"/>
      <c r="I22" s="12"/>
      <c r="K22" s="13"/>
      <c r="L22" s="9"/>
      <c r="M22" s="9"/>
      <c r="N22" s="9"/>
      <c r="O22" s="9"/>
      <c r="P22" s="47" t="s">
        <v>41</v>
      </c>
      <c r="Q22" s="34" t="s">
        <v>42</v>
      </c>
      <c r="R22" s="88">
        <f>E27-R12-0.25*R11+R18+0.25*R17</f>
        <v>1045.7305555555554</v>
      </c>
      <c r="S22" s="48" t="s">
        <v>8</v>
      </c>
      <c r="T22" s="12"/>
    </row>
    <row r="23" spans="2:20" ht="13.5" thickBot="1">
      <c r="B23" s="40"/>
      <c r="C23" s="62" t="s">
        <v>43</v>
      </c>
      <c r="D23" s="42"/>
      <c r="E23" s="43">
        <f>IF(E21="C",1.52,IF(E21="V",1.48,IF(E21="T",1.7,"erreur")))</f>
        <v>1.52</v>
      </c>
      <c r="F23" s="62"/>
      <c r="G23" s="9"/>
      <c r="H23" s="9"/>
      <c r="I23" s="12"/>
      <c r="K23" s="13"/>
      <c r="L23" s="9"/>
      <c r="M23" s="9"/>
      <c r="N23" s="9"/>
      <c r="O23" s="9"/>
      <c r="P23" s="33"/>
      <c r="Q23" s="16" t="s">
        <v>90</v>
      </c>
      <c r="R23" s="55">
        <f>L54</f>
        <v>1.1369888700808195</v>
      </c>
      <c r="S23" s="29"/>
      <c r="T23" s="12"/>
    </row>
    <row r="24" spans="2:20" ht="14.25" thickBot="1" thickTop="1">
      <c r="B24" s="47" t="s">
        <v>41</v>
      </c>
      <c r="C24" s="34" t="s">
        <v>44</v>
      </c>
      <c r="D24" s="63"/>
      <c r="E24" s="64">
        <v>1870</v>
      </c>
      <c r="F24" s="34" t="s">
        <v>8</v>
      </c>
      <c r="G24" s="63"/>
      <c r="H24" s="63"/>
      <c r="I24" s="7"/>
      <c r="K24" s="13"/>
      <c r="L24" s="9"/>
      <c r="M24" s="9"/>
      <c r="N24" s="9"/>
      <c r="O24" s="9"/>
      <c r="P24" s="40"/>
      <c r="Q24" s="62" t="s">
        <v>91</v>
      </c>
      <c r="R24" s="90">
        <f>L55</f>
        <v>0.2744085863404737</v>
      </c>
      <c r="S24" s="89"/>
      <c r="T24" s="12"/>
    </row>
    <row r="25" spans="2:20" ht="14.25" thickBot="1" thickTop="1">
      <c r="B25" s="33"/>
      <c r="C25" s="94" t="s">
        <v>45</v>
      </c>
      <c r="D25" s="95"/>
      <c r="E25" s="14">
        <v>630</v>
      </c>
      <c r="F25" s="16" t="s">
        <v>8</v>
      </c>
      <c r="G25" s="9"/>
      <c r="H25" s="9"/>
      <c r="I25" s="12"/>
      <c r="K25" s="56"/>
      <c r="L25" s="42"/>
      <c r="M25" s="42"/>
      <c r="N25" s="42"/>
      <c r="O25" s="42"/>
      <c r="P25" s="42"/>
      <c r="Q25" s="42"/>
      <c r="R25" s="42"/>
      <c r="S25" s="42"/>
      <c r="T25" s="57"/>
    </row>
    <row r="26" spans="2:9" ht="13.5" thickTop="1">
      <c r="B26" s="33"/>
      <c r="C26" s="94" t="s">
        <v>46</v>
      </c>
      <c r="D26" s="95"/>
      <c r="E26" s="66">
        <f>E11-H49</f>
        <v>-0.05</v>
      </c>
      <c r="F26" s="16" t="s">
        <v>8</v>
      </c>
      <c r="G26" s="9"/>
      <c r="H26" s="9"/>
      <c r="I26" s="12"/>
    </row>
    <row r="27" spans="2:9" ht="12.75">
      <c r="B27" s="33"/>
      <c r="C27" s="92" t="s">
        <v>47</v>
      </c>
      <c r="D27" s="93"/>
      <c r="E27" s="14">
        <v>1110</v>
      </c>
      <c r="F27" s="16" t="s">
        <v>8</v>
      </c>
      <c r="G27" s="9"/>
      <c r="H27" s="9"/>
      <c r="I27" s="12"/>
    </row>
    <row r="28" spans="2:9" ht="12.75">
      <c r="B28" s="33"/>
      <c r="C28" s="94" t="s">
        <v>48</v>
      </c>
      <c r="D28" s="95"/>
      <c r="E28" s="14">
        <v>15</v>
      </c>
      <c r="F28" s="16" t="s">
        <v>17</v>
      </c>
      <c r="G28" s="9"/>
      <c r="H28" s="9"/>
      <c r="I28" s="12"/>
    </row>
    <row r="29" spans="2:9" ht="12.75">
      <c r="B29" s="32"/>
      <c r="C29" s="94" t="s">
        <v>49</v>
      </c>
      <c r="D29" s="95"/>
      <c r="E29" s="61">
        <f>0.06</f>
        <v>0.06</v>
      </c>
      <c r="F29" s="16"/>
      <c r="G29" s="9"/>
      <c r="H29" s="9"/>
      <c r="I29" s="12"/>
    </row>
    <row r="30" spans="2:9" ht="13.5" thickBot="1">
      <c r="B30" s="67"/>
      <c r="C30" s="96" t="s">
        <v>50</v>
      </c>
      <c r="D30" s="97"/>
      <c r="E30" s="43">
        <f>H69</f>
        <v>0.2191981122027924</v>
      </c>
      <c r="F30" s="62"/>
      <c r="G30" s="42"/>
      <c r="H30" s="42"/>
      <c r="I30" s="57"/>
    </row>
    <row r="31" ht="13.5" thickTop="1"/>
    <row r="47" ht="12.75">
      <c r="C47" s="65"/>
    </row>
    <row r="50" spans="1:8" ht="12.75">
      <c r="A50" s="68" t="s">
        <v>0</v>
      </c>
      <c r="B50" s="69"/>
      <c r="C50" s="69"/>
      <c r="D50" s="69"/>
      <c r="E50" s="69"/>
      <c r="F50" s="69"/>
      <c r="G50" s="69"/>
      <c r="H50" s="70"/>
    </row>
    <row r="51" spans="1:12" ht="12.75">
      <c r="A51" s="71" t="s">
        <v>51</v>
      </c>
      <c r="B51" s="72">
        <f>D8*(D7+D6)/20000</f>
        <v>55.89</v>
      </c>
      <c r="C51" s="72">
        <f>E8*(E7+E6)/20000</f>
        <v>0</v>
      </c>
      <c r="D51" s="72">
        <f>F8*(F7+F6)/20000</f>
        <v>0</v>
      </c>
      <c r="E51" s="72">
        <f>G8*(G7+G6)/20000</f>
        <v>0</v>
      </c>
      <c r="F51" s="72">
        <f>H8*(H7+H6)/20000</f>
        <v>0</v>
      </c>
      <c r="G51" s="72"/>
      <c r="H51" s="73">
        <f>2*SUM(B51:F51)</f>
        <v>111.78</v>
      </c>
      <c r="K51" t="s">
        <v>80</v>
      </c>
      <c r="L51">
        <f>(E30*E24-E25)/R11</f>
        <v>-0.776061027082078</v>
      </c>
    </row>
    <row r="52" spans="1:12" ht="12.75">
      <c r="A52" s="71" t="s">
        <v>16</v>
      </c>
      <c r="B52" s="72"/>
      <c r="C52" s="72"/>
      <c r="D52" s="72"/>
      <c r="E52" s="72"/>
      <c r="F52" s="72"/>
      <c r="G52" s="72"/>
      <c r="H52" s="73">
        <f>H51+D6*E26/10000</f>
        <v>111.778125</v>
      </c>
      <c r="K52" t="s">
        <v>81</v>
      </c>
      <c r="L52">
        <f>R19*(1+(0.25-M16/100)*R11/R22)</f>
        <v>0.380691684715384</v>
      </c>
    </row>
    <row r="53" spans="1:12" ht="12.75">
      <c r="A53" s="71" t="s">
        <v>53</v>
      </c>
      <c r="B53" s="72">
        <f>IF(D6+D7=0,0,2*(D6*D6+D6*D7+D7*D7)/(3*(D6+D7)))</f>
        <v>283.6111111111111</v>
      </c>
      <c r="C53" s="72">
        <f>IF(E6+E7=0,0,2*(E6*E6+E6*E7+E7*E7)/(3*(E6+E7)))</f>
        <v>0</v>
      </c>
      <c r="D53" s="72">
        <f>IF(F6+F7=0,0,2*(F6*F6+F6*F7+F7*F7)/(3*(F6+F7)))</f>
        <v>0</v>
      </c>
      <c r="E53" s="72">
        <f>IF(G6+G7=0,0,2*(G6*G6+G6*G7+G7*G7)/(3*(G6+G7)))</f>
        <v>0</v>
      </c>
      <c r="F53" s="72">
        <f>IF(H6+H7=0,0,2*(H6*H6+H6*H7+H7*H7)/(3*(H6+H7)))</f>
        <v>0</v>
      </c>
      <c r="G53" s="72"/>
      <c r="H53" s="73">
        <f>2*SUM(B54:F54)/H51</f>
        <v>283.6111111111111</v>
      </c>
      <c r="K53" t="s">
        <v>84</v>
      </c>
      <c r="L53">
        <f>R22/R11+0.25-M10/100</f>
        <v>3.5834107554169923</v>
      </c>
    </row>
    <row r="54" spans="1:12" ht="12.75">
      <c r="A54" s="71" t="s">
        <v>56</v>
      </c>
      <c r="B54" s="72">
        <f>B51*B53</f>
        <v>15851.025</v>
      </c>
      <c r="C54" s="72">
        <f>C51*C53</f>
        <v>0</v>
      </c>
      <c r="D54" s="72">
        <f>D51*D53</f>
        <v>0</v>
      </c>
      <c r="E54" s="72">
        <f>E51*E53</f>
        <v>0</v>
      </c>
      <c r="F54" s="72">
        <f>F51*F53</f>
        <v>0</v>
      </c>
      <c r="G54" s="72"/>
      <c r="H54" s="73"/>
      <c r="K54" t="s">
        <v>83</v>
      </c>
      <c r="L54">
        <f>1+(M10/100-0.25)/L53+(1+(M10/100-L51)/L53)*E29*E28/(R13*R9)</f>
        <v>1.1369888700808195</v>
      </c>
    </row>
    <row r="55" spans="1:12" ht="12.75">
      <c r="A55" s="71" t="s">
        <v>59</v>
      </c>
      <c r="B55" s="72">
        <f>IF(D6+D7=0,0,D9*(D6+2*D7)/(3*(D6+D7)))</f>
        <v>39.166666666666664</v>
      </c>
      <c r="C55" s="72">
        <f>IF(E6+E7=0,0,E9*(E6+2*E7)/(3*(E6+E7)))</f>
        <v>0</v>
      </c>
      <c r="D55" s="72">
        <f>IF(F6+F7=0,0,F9*(F6+2*F7)/(3*(F6+F7)))</f>
        <v>0</v>
      </c>
      <c r="E55" s="72">
        <f>IF(G6+G7=0,0,G9*(G6+2*G7)/(3*(G6+G7)))</f>
        <v>0</v>
      </c>
      <c r="F55" s="72">
        <f>IF(H6+H7=0,0,H9*(H6+2*H7)/(3*(H6+H7)))</f>
        <v>0</v>
      </c>
      <c r="G55" s="72"/>
      <c r="H55" s="73">
        <f>2*SUM(B56:F56)/H51</f>
        <v>39.16666666666667</v>
      </c>
      <c r="K55" t="s">
        <v>82</v>
      </c>
      <c r="L55">
        <f>(M16/100-L51)*E29*E28/(L52*R21*R9)</f>
        <v>0.2744085863404737</v>
      </c>
    </row>
    <row r="56" spans="1:12" ht="12.75">
      <c r="A56" s="71"/>
      <c r="B56" s="72">
        <f>B55*B51</f>
        <v>2189.025</v>
      </c>
      <c r="C56" s="72">
        <f>(C55+D9)*C51</f>
        <v>0</v>
      </c>
      <c r="D56" s="72">
        <f>(D55+D9+E9)*D51</f>
        <v>0</v>
      </c>
      <c r="E56" s="72">
        <f>(E55+D9+E9+F9)*E51</f>
        <v>0</v>
      </c>
      <c r="F56" s="72">
        <f>(F55+D9+E9+F9+G9)*F51</f>
        <v>0</v>
      </c>
      <c r="G56" s="72"/>
      <c r="H56" s="73"/>
      <c r="K56" t="s">
        <v>86</v>
      </c>
      <c r="L56" s="81">
        <f>M17</f>
        <v>0.3</v>
      </c>
    </row>
    <row r="57" spans="1:12" ht="12.75">
      <c r="A57" s="75" t="s">
        <v>13</v>
      </c>
      <c r="B57" s="76"/>
      <c r="C57" s="76"/>
      <c r="D57" s="76"/>
      <c r="E57" s="76"/>
      <c r="F57" s="76"/>
      <c r="G57" s="76"/>
      <c r="H57" s="77">
        <f>2*SUM(D8:H8)</f>
        <v>4140</v>
      </c>
      <c r="K57" t="s">
        <v>85</v>
      </c>
      <c r="L57">
        <f>L54*M14/100*L56/(L52*R21)-E11/(L52*R21)+E12+L55*(E13-E12)</f>
        <v>0.18631661895859664</v>
      </c>
    </row>
    <row r="58" ht="12.75">
      <c r="A58" s="78"/>
    </row>
    <row r="60" spans="1:8" ht="12.75">
      <c r="A60" s="68" t="s">
        <v>63</v>
      </c>
      <c r="B60" s="69"/>
      <c r="C60" s="69"/>
      <c r="D60" s="69"/>
      <c r="E60" s="69"/>
      <c r="F60" s="69"/>
      <c r="G60" s="69"/>
      <c r="H60" s="70"/>
    </row>
    <row r="61" spans="1:8" ht="12.75">
      <c r="A61" s="71" t="s">
        <v>51</v>
      </c>
      <c r="B61" s="72">
        <f>D19*(D18+D17)/20000</f>
        <v>5.9375</v>
      </c>
      <c r="C61" s="72">
        <f>E19*(E18+E17)/20000</f>
        <v>0</v>
      </c>
      <c r="D61" s="72">
        <f>F19*(F18+F17)/20000</f>
        <v>0</v>
      </c>
      <c r="E61" s="72">
        <f>G19*(G18+G17)/20000</f>
        <v>0</v>
      </c>
      <c r="F61" s="72">
        <f>H19*(H18+H17)/20000</f>
        <v>0</v>
      </c>
      <c r="G61" s="72"/>
      <c r="H61" s="73">
        <f>2*SUM(B61:F61)</f>
        <v>11.875</v>
      </c>
    </row>
    <row r="62" spans="1:8" ht="12.75">
      <c r="A62" s="71" t="s">
        <v>64</v>
      </c>
      <c r="B62" s="72"/>
      <c r="C62" s="72"/>
      <c r="D62" s="72"/>
      <c r="E62" s="72"/>
      <c r="F62" s="72"/>
      <c r="G62" s="72"/>
      <c r="H62" s="73">
        <f>H61*IF(E21="C",1,IF(E21="V",0.71,IF(E21="T",1,"erreur")))</f>
        <v>11.875</v>
      </c>
    </row>
    <row r="63" spans="1:8" ht="12.75">
      <c r="A63" s="71" t="s">
        <v>53</v>
      </c>
      <c r="B63" s="72">
        <f>IF(D17+D18=0,0,2*(D17*D17+D17*D18+D18*D18)/(3*(D17+D18)))</f>
        <v>125.6</v>
      </c>
      <c r="C63" s="72">
        <f>IF(E17+E18=0,0,2*(E17*E17+E17*E18+E18*E18)/(3*(E17+E18)))</f>
        <v>0</v>
      </c>
      <c r="D63" s="72">
        <f>IF(F17+F18=0,0,2*(F17*F17+F17*F18+F18*F18)/(3*(F17+F18)))</f>
        <v>0</v>
      </c>
      <c r="E63" s="72">
        <f>IF(G17+G18=0,0,2*(G17*G17+G17*G18+G18*G18)/(3*(G17+G18)))</f>
        <v>0</v>
      </c>
      <c r="F63" s="72">
        <f>IF(H17+H18=0,0,2*(H17*H17+H17*H18+H18*H18)/(3*(H17+H18)))</f>
        <v>0</v>
      </c>
      <c r="G63" s="72"/>
      <c r="H63" s="73">
        <f>2*SUM(B64:F64)/H61</f>
        <v>125.6</v>
      </c>
    </row>
    <row r="64" spans="1:8" ht="12.75">
      <c r="A64" s="71" t="s">
        <v>56</v>
      </c>
      <c r="B64" s="72">
        <f>B61*B63</f>
        <v>745.75</v>
      </c>
      <c r="C64" s="72">
        <f>C61*C63</f>
        <v>0</v>
      </c>
      <c r="D64" s="72">
        <f>D61*D63</f>
        <v>0</v>
      </c>
      <c r="E64" s="72">
        <f>E61*E63</f>
        <v>0</v>
      </c>
      <c r="F64" s="72">
        <f>F61*F63</f>
        <v>0</v>
      </c>
      <c r="G64" s="72"/>
      <c r="H64" s="73"/>
    </row>
    <row r="65" spans="1:8" ht="12.75">
      <c r="A65" s="71" t="s">
        <v>59</v>
      </c>
      <c r="B65" s="72">
        <f>IF(D17+D18=0,0,D20*(D17+2*D18)/(3*(D17+D18)))</f>
        <v>14.4</v>
      </c>
      <c r="C65" s="72">
        <f>IF(E17+E18=0,0,E20*(E17+2*E18)/(3*(E17+E18)))</f>
        <v>0</v>
      </c>
      <c r="D65" s="72">
        <f>IF(F17+F18=0,0,F20*(F17+2*F18)/(3*(F17+F18)))</f>
        <v>0</v>
      </c>
      <c r="E65" s="72">
        <f>IF(G17+G18=0,0,G20*(G17+2*G18)/(3*(G17+G18)))</f>
        <v>0</v>
      </c>
      <c r="F65" s="72">
        <f>IF(H17+H18=0,0,H20*(H17+2*H18)/(3*(H17+H18)))</f>
        <v>0</v>
      </c>
      <c r="G65" s="72"/>
      <c r="H65" s="73">
        <f>2*SUM(B66:F66)/H61</f>
        <v>14.4</v>
      </c>
    </row>
    <row r="66" spans="1:18" ht="12.75">
      <c r="A66" s="71"/>
      <c r="B66" s="72">
        <f>B65*B61</f>
        <v>85.5</v>
      </c>
      <c r="C66" s="72">
        <f>(C65+D20)*C61</f>
        <v>0</v>
      </c>
      <c r="D66" s="72">
        <f>(D65+D20+E20)*D61</f>
        <v>0</v>
      </c>
      <c r="E66" s="72">
        <f>(E65+D20+E20+F20)*E61</f>
        <v>0</v>
      </c>
      <c r="F66" s="72">
        <f>(F65+D20+E20+F20+G20)*F61</f>
        <v>0</v>
      </c>
      <c r="G66" s="72"/>
      <c r="H66" s="73"/>
      <c r="R66">
        <f>R22/R11</f>
        <v>3.6871988246816843</v>
      </c>
    </row>
    <row r="67" spans="1:8" ht="12.75">
      <c r="A67" s="75" t="s">
        <v>13</v>
      </c>
      <c r="B67" s="76"/>
      <c r="C67" s="76"/>
      <c r="D67" s="76"/>
      <c r="E67" s="76"/>
      <c r="F67" s="76"/>
      <c r="G67" s="76"/>
      <c r="H67" s="77">
        <f>2*SUM(D19:H19)</f>
        <v>950</v>
      </c>
    </row>
    <row r="68" spans="7:16" ht="12.75">
      <c r="G68" t="s">
        <v>65</v>
      </c>
      <c r="H68">
        <f>E24-E25</f>
        <v>1240</v>
      </c>
      <c r="O68" t="s">
        <v>52</v>
      </c>
      <c r="P68">
        <f>2*R22/R8</f>
        <v>0.4886591381100726</v>
      </c>
    </row>
    <row r="69" spans="7:18" ht="12.75">
      <c r="G69" t="s">
        <v>66</v>
      </c>
      <c r="H69">
        <f>(0.399*E25*E25+(E25+0.33*H68)*0.5*H68)/(2*(0.57*E25+0.5*H68)*E24)</f>
        <v>0.2191981122027924</v>
      </c>
      <c r="L69">
        <f>(M9-M2)/R11</f>
        <v>-0.012323585975268884</v>
      </c>
      <c r="O69" t="s">
        <v>54</v>
      </c>
      <c r="P69">
        <f>2*M69/R8</f>
        <v>0</v>
      </c>
      <c r="Q69" t="s">
        <v>55</v>
      </c>
      <c r="R69">
        <f>R14/R9</f>
        <v>0.10623724454136263</v>
      </c>
    </row>
    <row r="70" spans="1:18" ht="12.75">
      <c r="A70" t="s">
        <v>67</v>
      </c>
      <c r="B70">
        <f>E23*360/(PI()*PI()*R10)</f>
        <v>3.383106157891385</v>
      </c>
      <c r="G70" t="s">
        <v>68</v>
      </c>
      <c r="H70">
        <f>(0.7*E25*E26+E26*(E24-E25)*1.3/2)/10000</f>
        <v>-0.006235000000000001</v>
      </c>
      <c r="O70" t="s">
        <v>57</v>
      </c>
      <c r="P70">
        <f>SQRT(PI()*PI()/16+P68*P68+P69*P69)</f>
        <v>0.9250070423118756</v>
      </c>
      <c r="Q70" t="s">
        <v>58</v>
      </c>
      <c r="R70">
        <f>E28/R9</f>
        <v>0.13419441415751068</v>
      </c>
    </row>
    <row r="71" spans="1:18" ht="12.75">
      <c r="A71" t="s">
        <v>69</v>
      </c>
      <c r="B71">
        <f>E71</f>
        <v>0.38512676111220023</v>
      </c>
      <c r="D71">
        <f>R13*B70</f>
        <v>0.33166549285564423</v>
      </c>
      <c r="E71">
        <f>P79*E23</f>
        <v>0.38512676111220023</v>
      </c>
      <c r="Q71" t="s">
        <v>60</v>
      </c>
      <c r="R71">
        <f>R22/R11</f>
        <v>3.6871988246816843</v>
      </c>
    </row>
    <row r="72" spans="1:18" ht="12.75">
      <c r="A72" t="s">
        <v>70</v>
      </c>
      <c r="B72">
        <f>H51*R13+H62*R21*(1-B71)+E29*E28</f>
        <v>12.494290254186556</v>
      </c>
      <c r="P72">
        <f>(1+P68/P70)*(PI()/4)/(PI()*PI()/16+P69*P69)</f>
        <v>1.9458616006526261</v>
      </c>
      <c r="Q72" t="s">
        <v>61</v>
      </c>
      <c r="R72" s="74">
        <f>R10</f>
        <v>16.38817970868629</v>
      </c>
    </row>
    <row r="73" spans="1:18" ht="12.75">
      <c r="A73" t="s">
        <v>71</v>
      </c>
      <c r="B73">
        <f>0.25+R22*R21*H62/(R11*B72)</f>
        <v>0.5551782853351922</v>
      </c>
      <c r="E73">
        <f>B73</f>
        <v>0.5551782853351922</v>
      </c>
      <c r="P73">
        <f>(PI()/4)*(P68/P70)/(P68*P68+P69*P69)</f>
        <v>1.7375560285138507</v>
      </c>
      <c r="Q73" t="s">
        <v>62</v>
      </c>
      <c r="R73" s="74">
        <f>R16</f>
        <v>7.6</v>
      </c>
    </row>
    <row r="74" spans="1:16" ht="12.75">
      <c r="A74" t="s">
        <v>72</v>
      </c>
      <c r="B74">
        <f>B71*R22*R21*H62/(R11*B72)</f>
        <v>0.11753232459291747</v>
      </c>
      <c r="E74">
        <f>B73-B74</f>
        <v>0.43764596074227474</v>
      </c>
      <c r="P74">
        <f>(2/PI())/(1+SQRT(1+R10*R10/4))</f>
        <v>0.06878743999770107</v>
      </c>
    </row>
    <row r="75" spans="1:5" ht="12.75">
      <c r="A75" t="s">
        <v>73</v>
      </c>
      <c r="B75">
        <f>E15/E14*R13*R9/B72</f>
        <v>0</v>
      </c>
      <c r="E75">
        <f>E74-B75</f>
        <v>0.43764596074227474</v>
      </c>
    </row>
    <row r="76" spans="1:2" ht="12.75">
      <c r="A76" t="s">
        <v>74</v>
      </c>
      <c r="B76">
        <f>E25+R12+0.25*R11</f>
        <v>740.0694444444443</v>
      </c>
    </row>
    <row r="77" spans="1:2" ht="12.75">
      <c r="A77" t="s">
        <v>75</v>
      </c>
      <c r="B77">
        <f>E30*E24</f>
        <v>409.90046981922177</v>
      </c>
    </row>
    <row r="78" spans="1:5" ht="12.75">
      <c r="A78" t="s">
        <v>76</v>
      </c>
      <c r="B78">
        <f>((B76-B77)/R11)*E29*E28/B72</f>
        <v>0.08385789147758278</v>
      </c>
      <c r="C78">
        <f>1.19*E28*E29/(R9*R13)</f>
        <v>0.09773452062110931</v>
      </c>
      <c r="E78">
        <f>E75-B78</f>
        <v>0.353788069264692</v>
      </c>
    </row>
    <row r="79" spans="1:16" ht="12.75">
      <c r="A79" t="s">
        <v>77</v>
      </c>
      <c r="B79">
        <f>B73-B74-B75-B78</f>
        <v>0.353788069264692</v>
      </c>
      <c r="P79">
        <f>P74*(P72+P73)</f>
        <v>0.2533728691527633</v>
      </c>
    </row>
    <row r="80" ht="12.75">
      <c r="P80">
        <f>4/(R10+2)</f>
        <v>0.21753104784539723</v>
      </c>
    </row>
  </sheetData>
  <mergeCells count="8">
    <mergeCell ref="C27:D27"/>
    <mergeCell ref="C28:D28"/>
    <mergeCell ref="C29:D29"/>
    <mergeCell ref="C30:D30"/>
    <mergeCell ref="K5:T5"/>
    <mergeCell ref="C21:D21"/>
    <mergeCell ref="C25:D25"/>
    <mergeCell ref="C26:D26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Platon</dc:creator>
  <cp:keywords/>
  <dc:description/>
  <cp:lastModifiedBy>Thierry Platon</cp:lastModifiedBy>
  <dcterms:created xsi:type="dcterms:W3CDTF">2007-05-17T14:45:53Z</dcterms:created>
  <dcterms:modified xsi:type="dcterms:W3CDTF">2007-09-22T21:42:05Z</dcterms:modified>
  <cp:category/>
  <cp:version/>
  <cp:contentType/>
  <cp:contentStatus/>
</cp:coreProperties>
</file>